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nfig" sheetId="1" state="hidden" r:id="rId1"/>
    <sheet name="Calculator" sheetId="2" state="visible" r:id="rId2"/>
    <sheet name="Tax Torpe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14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5B6B73"/>
      <sz val="9"/>
    </font>
    <font>
      <b val="1"/>
      <color rgb="00FFFFFF"/>
      <sz val="11"/>
    </font>
    <font>
      <sz val="10"/>
    </font>
    <font>
      <b val="1"/>
      <sz val="10"/>
    </font>
    <font>
      <color rgb="00000000"/>
      <sz val="10"/>
    </font>
    <font>
      <i val="1"/>
      <sz val="10"/>
    </font>
    <font>
      <color rgb="000A2540"/>
      <sz val="10"/>
    </font>
    <font>
      <b val="1"/>
      <color rgb="000A2540"/>
      <sz val="10"/>
    </font>
    <font>
      <b val="1"/>
      <color rgb="00000000"/>
      <sz val="10"/>
    </font>
    <font>
      <i val="1"/>
      <color rgb="005B6B73"/>
      <sz val="8"/>
    </font>
    <font>
      <b val="1"/>
      <color rgb="00FFFFFF"/>
      <sz val="14"/>
    </font>
    <font>
      <b val="1"/>
      <color rgb="00FFFFFF"/>
      <sz val="9"/>
    </font>
  </fonts>
  <fills count="6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1F8A8A"/>
      </patternFill>
    </fill>
    <fill>
      <patternFill patternType="solid">
        <fgColor rgb="00FBF3E3"/>
      </patternFill>
    </fill>
    <fill>
      <patternFill patternType="solid">
        <fgColor rgb="00EAF2F4"/>
      </patternFill>
    </fill>
  </fills>
  <borders count="2">
    <border>
      <left/>
      <right/>
      <top/>
      <bottom/>
      <diagonal/>
    </border>
    <border>
      <left style="thin">
        <color rgb="00C9D4D8"/>
      </left>
      <right style="thin">
        <color rgb="00C9D4D8"/>
      </right>
      <top style="thin">
        <color rgb="00C9D4D8"/>
      </top>
      <bottom style="thin">
        <color rgb="00C9D4D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  <xf numFmtId="0" fontId="4" fillId="0" borderId="0" pivotButton="0" quotePrefix="0" xfId="0"/>
    <xf numFmtId="1" fontId="5" fillId="4" borderId="1" applyAlignment="1" pivotButton="0" quotePrefix="0" xfId="0">
      <alignment horizontal="right"/>
    </xf>
    <xf numFmtId="0" fontId="5" fillId="4" borderId="1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164" fontId="6" fillId="0" borderId="1" applyAlignment="1" pivotButton="0" quotePrefix="0" xfId="0">
      <alignment horizontal="right"/>
    </xf>
    <xf numFmtId="0" fontId="7" fillId="0" borderId="0" pivotButton="0" quotePrefix="0" xfId="0"/>
    <xf numFmtId="164" fontId="8" fillId="5" borderId="1" applyAlignment="1" pivotButton="0" quotePrefix="0" xfId="0">
      <alignment horizontal="right"/>
    </xf>
    <xf numFmtId="0" fontId="5" fillId="0" borderId="0" pivotButton="0" quotePrefix="0" xfId="0"/>
    <xf numFmtId="164" fontId="9" fillId="5" borderId="1" applyAlignment="1" pivotButton="0" quotePrefix="0" xfId="0">
      <alignment horizontal="right"/>
    </xf>
    <xf numFmtId="165" fontId="9" fillId="5" borderId="1" applyAlignment="1" pivotButton="0" quotePrefix="0" xfId="0">
      <alignment horizontal="right"/>
    </xf>
    <xf numFmtId="164" fontId="10" fillId="0" borderId="1" applyAlignment="1" pivotButton="0" quotePrefix="0" xfId="0">
      <alignment horizontal="right"/>
    </xf>
    <xf numFmtId="165" fontId="6" fillId="0" borderId="1" applyAlignment="1" pivotButton="0" quotePrefix="0" xfId="0">
      <alignment horizontal="right"/>
    </xf>
    <xf numFmtId="166" fontId="6" fillId="0" borderId="1" applyAlignment="1" pivotButton="0" quotePrefix="0" xfId="0">
      <alignment horizontal="right"/>
    </xf>
    <xf numFmtId="0" fontId="11" fillId="0" borderId="0" applyAlignment="1" pivotButton="0" quotePrefix="0" xfId="0">
      <alignment vertical="top" wrapText="1"/>
    </xf>
    <xf numFmtId="0" fontId="12" fillId="2" borderId="0" applyAlignment="1" pivotButton="0" quotePrefix="0" xfId="0">
      <alignment vertical="center"/>
    </xf>
    <xf numFmtId="0" fontId="13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6C7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Marginal Tax Rate vs. Withdrawal  (the torpedo)</a:t>
            </a:r>
          </a:p>
        </rich>
      </tx>
    </title>
    <plotArea>
      <lineChart>
        <grouping val="standard"/>
        <ser>
          <idx val="0"/>
          <order val="0"/>
          <tx>
            <strRef>
              <f>'Tax Torpedo'!H4</f>
            </strRef>
          </tx>
          <spPr>
            <a:ln w="28000">
              <a:solidFill>
                <a:srgbClr val="C0392B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'Tax Torpedo'!$A$5:$A$35</f>
            </numRef>
          </cat>
          <val>
            <numRef>
              <f>'Tax Torpedo'!$H$5:$H$35</f>
            </numRef>
          </val>
        </ser>
        <ser>
          <idx val="1"/>
          <order val="1"/>
          <tx>
            <strRef>
              <f>'Tax Torpedo'!D4</f>
            </strRef>
          </tx>
          <spPr>
            <a:ln>
              <a:solidFill>
                <a:srgbClr val="1F8A8A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'Tax Torpedo'!$A$5:$A$35</f>
            </numRef>
          </cat>
          <val>
            <numRef>
              <f>'Tax Torpedo'!$D$5:$D$35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Traditional withdrawal ($)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Rate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11</col>
      <colOff>0</colOff>
      <row>3</row>
      <rowOff>0</rowOff>
    </from>
    <ext cx="756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t="inlineStr">
        <is>
          <t>Constant</t>
        </is>
      </c>
      <c r="B1" t="inlineStr">
        <is>
          <t>2025 MFJ</t>
        </is>
      </c>
      <c r="C1" t="inlineStr">
        <is>
          <t>2025 Single</t>
        </is>
      </c>
      <c r="D1" t="inlineStr">
        <is>
          <t>2026 MFJ</t>
        </is>
      </c>
      <c r="E1" t="inlineStr">
        <is>
          <t>2026 Single</t>
        </is>
      </c>
      <c r="F1" t="inlineStr">
        <is>
          <t>Selected</t>
        </is>
      </c>
    </row>
    <row r="2">
      <c r="A2" t="inlineStr">
        <is>
          <t>SS base threshold (tier1)</t>
        </is>
      </c>
      <c r="B2" t="n">
        <v>32000</v>
      </c>
      <c r="C2" t="n">
        <v>25000</v>
      </c>
      <c r="D2" t="n">
        <v>32000</v>
      </c>
      <c r="E2" t="n">
        <v>25000</v>
      </c>
      <c r="F2">
        <f>IF(Calculator!$D$5=2025,IF(Calculator!$D$6="Married Filing Jointly",B2,C2),IF(Calculator!$D$6="Married Filing Jointly",D2,E2))</f>
        <v/>
      </c>
    </row>
    <row r="3">
      <c r="A3" t="inlineStr">
        <is>
          <t>SS upper threshold (tier2)</t>
        </is>
      </c>
      <c r="B3" t="n">
        <v>44000</v>
      </c>
      <c r="C3" t="n">
        <v>34000</v>
      </c>
      <c r="D3" t="n">
        <v>44000</v>
      </c>
      <c r="E3" t="n">
        <v>34000</v>
      </c>
      <c r="F3">
        <f>IF(Calculator!$D$5=2025,IF(Calculator!$D$6="Married Filing Jointly",B3,C3),IF(Calculator!$D$6="Married Filing Jointly",D3,E3))</f>
        <v/>
      </c>
    </row>
    <row r="4">
      <c r="A4" t="inlineStr">
        <is>
          <t>Std deduction base</t>
        </is>
      </c>
      <c r="B4" t="n">
        <v>31500</v>
      </c>
      <c r="C4" t="n">
        <v>15750</v>
      </c>
      <c r="D4" t="n">
        <v>32200</v>
      </c>
      <c r="E4" t="n">
        <v>16100</v>
      </c>
      <c r="F4">
        <f>IF(Calculator!$D$5=2025,IF(Calculator!$D$6="Married Filing Jointly",B4,C4),IF(Calculator!$D$6="Married Filing Jointly",D4,E4))</f>
        <v/>
      </c>
    </row>
    <row r="5">
      <c r="A5" t="inlineStr">
        <is>
          <t>Add'l std ded per person 65+</t>
        </is>
      </c>
      <c r="B5" t="n">
        <v>1600</v>
      </c>
      <c r="C5" t="n">
        <v>2000</v>
      </c>
      <c r="D5" t="n">
        <v>1650</v>
      </c>
      <c r="E5" t="n">
        <v>2050</v>
      </c>
      <c r="F5">
        <f>IF(Calculator!$D$5=2025,IF(Calculator!$D$6="Married Filing Jointly",B5,C5),IF(Calculator!$D$6="Married Filing Jointly",D5,E5))</f>
        <v/>
      </c>
    </row>
    <row r="6">
      <c r="A6" t="inlineStr">
        <is>
          <t>Senior bonus per person 65+</t>
        </is>
      </c>
      <c r="B6" t="n">
        <v>6000</v>
      </c>
      <c r="C6" t="n">
        <v>6000</v>
      </c>
      <c r="D6" t="n">
        <v>6000</v>
      </c>
      <c r="E6" t="n">
        <v>6000</v>
      </c>
      <c r="F6">
        <f>IF(Calculator!$D$5=2025,IF(Calculator!$D$6="Married Filing Jointly",B6,C6),IF(Calculator!$D$6="Married Filing Jointly",D6,E6))</f>
        <v/>
      </c>
    </row>
    <row r="7">
      <c r="A7" t="inlineStr">
        <is>
          <t>Senior bonus phaseout start</t>
        </is>
      </c>
      <c r="B7" t="n">
        <v>150000</v>
      </c>
      <c r="C7" t="n">
        <v>75000</v>
      </c>
      <c r="D7" t="n">
        <v>150000</v>
      </c>
      <c r="E7" t="n">
        <v>75000</v>
      </c>
      <c r="F7">
        <f>IF(Calculator!$D$5=2025,IF(Calculator!$D$6="Married Filing Jointly",B7,C7),IF(Calculator!$D$6="Married Filing Jointly",D7,E7))</f>
        <v/>
      </c>
    </row>
    <row r="8">
      <c r="A8" t="inlineStr">
        <is>
          <t>Senior bonus phaseout rate</t>
        </is>
      </c>
      <c r="B8" t="n">
        <v>0.06</v>
      </c>
      <c r="C8" t="n">
        <v>0.06</v>
      </c>
      <c r="D8" t="n">
        <v>0.06</v>
      </c>
      <c r="E8" t="n">
        <v>0.06</v>
      </c>
      <c r="F8">
        <f>IF(Calculator!$D$5=2025,IF(Calculator!$D$6="Married Filing Jointly",B8,C8),IF(Calculator!$D$6="Married Filing Jointly",D8,E8))</f>
        <v/>
      </c>
    </row>
    <row r="9">
      <c r="A9" t="inlineStr">
        <is>
          <t>LTCG 0% bracket top</t>
        </is>
      </c>
      <c r="B9" t="n">
        <v>96700</v>
      </c>
      <c r="C9" t="n">
        <v>48350</v>
      </c>
      <c r="D9" t="n">
        <v>98900</v>
      </c>
      <c r="E9" t="n">
        <v>49450</v>
      </c>
      <c r="F9">
        <f>IF(Calculator!$D$5=2025,IF(Calculator!$D$6="Married Filing Jointly",B9,C9),IF(Calculator!$D$6="Married Filing Jointly",D9,E9))</f>
        <v/>
      </c>
    </row>
    <row r="10">
      <c r="A10" t="inlineStr">
        <is>
          <t>LTCG 15% bracket top</t>
        </is>
      </c>
      <c r="B10" t="n">
        <v>600050</v>
      </c>
      <c r="C10" t="n">
        <v>533400</v>
      </c>
      <c r="D10" t="n">
        <v>613700</v>
      </c>
      <c r="E10" t="n">
        <v>545500</v>
      </c>
      <c r="F10">
        <f>IF(Calculator!$D$5=2025,IF(Calculator!$D$6="Married Filing Jointly",B10,C10),IF(Calculator!$D$6="Married Filing Jointly",D10,E10))</f>
        <v/>
      </c>
    </row>
    <row r="12">
      <c r="A12" t="inlineStr">
        <is>
          <t>FEDERAL BRACKETS (lower bounds)</t>
        </is>
      </c>
    </row>
    <row r="13">
      <c r="B13" t="n">
        <v>0</v>
      </c>
      <c r="C13" t="n">
        <v>0</v>
      </c>
      <c r="D13" t="n">
        <v>0</v>
      </c>
      <c r="E13" t="n">
        <v>0</v>
      </c>
      <c r="F13" t="n">
        <v>0.1</v>
      </c>
      <c r="G13">
        <f>IF(Calculator!$D$5=2025,IF(Calculator!$D$6="Married Filing Jointly",B13,C13),IF(Calculator!$D$6="Married Filing Jointly",D13,E13))</f>
        <v/>
      </c>
    </row>
    <row r="14">
      <c r="B14" t="n">
        <v>23850</v>
      </c>
      <c r="C14" t="n">
        <v>11925</v>
      </c>
      <c r="D14" t="n">
        <v>24800</v>
      </c>
      <c r="E14" t="n">
        <v>12400</v>
      </c>
      <c r="F14" t="n">
        <v>0.02</v>
      </c>
      <c r="G14">
        <f>IF(Calculator!$D$5=2025,IF(Calculator!$D$6="Married Filing Jointly",B14,C14),IF(Calculator!$D$6="Married Filing Jointly",D14,E14))</f>
        <v/>
      </c>
    </row>
    <row r="15">
      <c r="B15" t="n">
        <v>96950</v>
      </c>
      <c r="C15" t="n">
        <v>48475</v>
      </c>
      <c r="D15" t="n">
        <v>100800</v>
      </c>
      <c r="E15" t="n">
        <v>50400</v>
      </c>
      <c r="F15" t="n">
        <v>0.1</v>
      </c>
      <c r="G15">
        <f>IF(Calculator!$D$5=2025,IF(Calculator!$D$6="Married Filing Jointly",B15,C15),IF(Calculator!$D$6="Married Filing Jointly",D15,E15))</f>
        <v/>
      </c>
    </row>
    <row r="16">
      <c r="B16" t="n">
        <v>206700</v>
      </c>
      <c r="C16" t="n">
        <v>103350</v>
      </c>
      <c r="D16" t="n">
        <v>211400</v>
      </c>
      <c r="E16" t="n">
        <v>105700</v>
      </c>
      <c r="F16" t="n">
        <v>0.02</v>
      </c>
      <c r="G16">
        <f>IF(Calculator!$D$5=2025,IF(Calculator!$D$6="Married Filing Jointly",B16,C16),IF(Calculator!$D$6="Married Filing Jointly",D16,E16))</f>
        <v/>
      </c>
    </row>
    <row r="17">
      <c r="B17" t="n">
        <v>394600</v>
      </c>
      <c r="C17" t="n">
        <v>197300</v>
      </c>
      <c r="D17" t="n">
        <v>403550</v>
      </c>
      <c r="E17" t="n">
        <v>201775</v>
      </c>
      <c r="F17" t="n">
        <v>0.08</v>
      </c>
      <c r="G17">
        <f>IF(Calculator!$D$5=2025,IF(Calculator!$D$6="Married Filing Jointly",B17,C17),IF(Calculator!$D$6="Married Filing Jointly",D17,E17))</f>
        <v/>
      </c>
    </row>
    <row r="18">
      <c r="B18" t="n">
        <v>501050</v>
      </c>
      <c r="C18" t="n">
        <v>250525</v>
      </c>
      <c r="D18" t="n">
        <v>512450</v>
      </c>
      <c r="E18" t="n">
        <v>256225</v>
      </c>
      <c r="F18" t="n">
        <v>0.03</v>
      </c>
      <c r="G18">
        <f>IF(Calculator!$D$5=2025,IF(Calculator!$D$6="Married Filing Jointly",B18,C18),IF(Calculator!$D$6="Married Filing Jointly",D18,E18))</f>
        <v/>
      </c>
    </row>
    <row r="19">
      <c r="B19" t="n">
        <v>751600</v>
      </c>
      <c r="C19" t="n">
        <v>626350</v>
      </c>
      <c r="D19" t="n">
        <v>768700</v>
      </c>
      <c r="E19" t="n">
        <v>640600</v>
      </c>
      <c r="F19" t="n">
        <v>0.02</v>
      </c>
      <c r="G19">
        <f>IF(Calculator!$D$5=2025,IF(Calculator!$D$6="Married Filing Jointly",B19,C19),IF(Calculator!$D$6="Married Filing Jointly",D19,E19))</f>
        <v/>
      </c>
    </row>
    <row r="21">
      <c r="A21" t="inlineStr">
        <is>
          <t>IRMAA TIERS (Part B monthly)</t>
        </is>
      </c>
    </row>
    <row r="22">
      <c r="B22" t="n">
        <v>0</v>
      </c>
      <c r="C22" t="n">
        <v>0</v>
      </c>
      <c r="D22" t="n">
        <v>185</v>
      </c>
      <c r="E22" t="n">
        <v>0</v>
      </c>
      <c r="F22" t="n">
        <v>0</v>
      </c>
      <c r="G22" t="n">
        <v>202.9</v>
      </c>
      <c r="H22">
        <f>IF(Calculator!$D$5=2025,IF(Calculator!$D$6="Married Filing Jointly",B22,C22),IF(Calculator!$D$6="Married Filing Jointly",E22,F22))</f>
        <v/>
      </c>
      <c r="I22">
        <f>IF(Calculator!$D$5=2025,D22,G22)</f>
        <v/>
      </c>
    </row>
    <row r="23">
      <c r="B23" t="n">
        <v>212000</v>
      </c>
      <c r="C23" t="n">
        <v>106000</v>
      </c>
      <c r="D23" t="n">
        <v>259</v>
      </c>
      <c r="E23" t="n">
        <v>218000</v>
      </c>
      <c r="F23" t="n">
        <v>109000</v>
      </c>
      <c r="G23" t="n">
        <v>284.06</v>
      </c>
      <c r="H23">
        <f>IF(Calculator!$D$5=2025,IF(Calculator!$D$6="Married Filing Jointly",B23,C23),IF(Calculator!$D$6="Married Filing Jointly",E23,F23))</f>
        <v/>
      </c>
      <c r="I23">
        <f>IF(Calculator!$D$5=2025,D23,G23)</f>
        <v/>
      </c>
    </row>
    <row r="24">
      <c r="B24" t="n">
        <v>266000</v>
      </c>
      <c r="C24" t="n">
        <v>133000</v>
      </c>
      <c r="D24" t="n">
        <v>370</v>
      </c>
      <c r="E24" t="n">
        <v>274000</v>
      </c>
      <c r="F24" t="n">
        <v>137000</v>
      </c>
      <c r="G24" t="n">
        <v>405.8</v>
      </c>
      <c r="H24">
        <f>IF(Calculator!$D$5=2025,IF(Calculator!$D$6="Married Filing Jointly",B24,C24),IF(Calculator!$D$6="Married Filing Jointly",E24,F24))</f>
        <v/>
      </c>
      <c r="I24">
        <f>IF(Calculator!$D$5=2025,D24,G24)</f>
        <v/>
      </c>
    </row>
    <row r="25">
      <c r="B25" t="n">
        <v>334000</v>
      </c>
      <c r="C25" t="n">
        <v>167000</v>
      </c>
      <c r="D25" t="n">
        <v>444.9</v>
      </c>
      <c r="E25" t="n">
        <v>342000</v>
      </c>
      <c r="F25" t="n">
        <v>171000</v>
      </c>
      <c r="G25" t="n">
        <v>527.54</v>
      </c>
      <c r="H25">
        <f>IF(Calculator!$D$5=2025,IF(Calculator!$D$6="Married Filing Jointly",B25,C25),IF(Calculator!$D$6="Married Filing Jointly",E25,F25))</f>
        <v/>
      </c>
      <c r="I25">
        <f>IF(Calculator!$D$5=2025,D25,G25)</f>
        <v/>
      </c>
    </row>
    <row r="26">
      <c r="B26" t="n">
        <v>400000</v>
      </c>
      <c r="C26" t="n">
        <v>200000</v>
      </c>
      <c r="D26" t="n">
        <v>591.9</v>
      </c>
      <c r="E26" t="n">
        <v>410000</v>
      </c>
      <c r="F26" t="n">
        <v>205000</v>
      </c>
      <c r="G26" t="n">
        <v>649.28</v>
      </c>
      <c r="H26">
        <f>IF(Calculator!$D$5=2025,IF(Calculator!$D$6="Married Filing Jointly",B26,C26),IF(Calculator!$D$6="Married Filing Jointly",E26,F26))</f>
        <v/>
      </c>
      <c r="I26">
        <f>IF(Calculator!$D$5=2025,D26,G26)</f>
        <v/>
      </c>
    </row>
    <row r="27">
      <c r="B27" t="n">
        <v>750000</v>
      </c>
      <c r="C27" t="n">
        <v>500000</v>
      </c>
      <c r="D27" t="n">
        <v>628.9</v>
      </c>
      <c r="E27" t="n">
        <v>750000</v>
      </c>
      <c r="F27" t="n">
        <v>500000</v>
      </c>
      <c r="G27" t="n">
        <v>690.2</v>
      </c>
      <c r="H27">
        <f>IF(Calculator!$D$5=2025,IF(Calculator!$D$6="Married Filing Jointly",B27,C27),IF(Calculator!$D$6="Married Filing Jointly",E27,F27))</f>
        <v/>
      </c>
      <c r="I27">
        <f>IF(Calculator!$D$5=2025,D27,G27)</f>
        <v/>
      </c>
    </row>
    <row r="30">
      <c r="A30" t="inlineStr">
        <is>
          <t>NEW YORK BRACKETS (2025)</t>
        </is>
      </c>
    </row>
    <row r="31">
      <c r="B31" t="n">
        <v>0</v>
      </c>
      <c r="C31" t="n">
        <v>0</v>
      </c>
      <c r="D31" t="n">
        <v>0.04</v>
      </c>
      <c r="E31">
        <f>IF(Calculator!$D$6="Married Filing Jointly",B31,C31)</f>
        <v/>
      </c>
    </row>
    <row r="32">
      <c r="B32" t="n">
        <v>17150</v>
      </c>
      <c r="C32" t="n">
        <v>8500</v>
      </c>
      <c r="D32" t="n">
        <v>0.005</v>
      </c>
      <c r="E32">
        <f>IF(Calculator!$D$6="Married Filing Jointly",B32,C32)</f>
        <v/>
      </c>
    </row>
    <row r="33">
      <c r="B33" t="n">
        <v>23600</v>
      </c>
      <c r="C33" t="n">
        <v>11700</v>
      </c>
      <c r="D33" t="n">
        <v>0.0075</v>
      </c>
      <c r="E33">
        <f>IF(Calculator!$D$6="Married Filing Jointly",B33,C33)</f>
        <v/>
      </c>
    </row>
    <row r="34">
      <c r="B34" t="n">
        <v>27900</v>
      </c>
      <c r="C34" t="n">
        <v>13900</v>
      </c>
      <c r="D34" t="n">
        <v>0.0025</v>
      </c>
      <c r="E34">
        <f>IF(Calculator!$D$6="Married Filing Jointly",B34,C34)</f>
        <v/>
      </c>
    </row>
    <row r="35">
      <c r="B35" t="n">
        <v>161550</v>
      </c>
      <c r="C35" t="n">
        <v>80650</v>
      </c>
      <c r="D35" t="n">
        <v>0.005</v>
      </c>
      <c r="E35">
        <f>IF(Calculator!$D$6="Married Filing Jointly",B35,C35)</f>
        <v/>
      </c>
    </row>
    <row r="36">
      <c r="B36" t="n">
        <v>323200</v>
      </c>
      <c r="C36" t="n">
        <v>215400</v>
      </c>
      <c r="D36" t="n">
        <v>0.008500000000000001</v>
      </c>
      <c r="E36">
        <f>IF(Calculator!$D$6="Married Filing Jointly",B36,C36)</f>
        <v/>
      </c>
    </row>
    <row r="37">
      <c r="B37" t="n">
        <v>2155350</v>
      </c>
      <c r="C37" t="n">
        <v>1077550</v>
      </c>
      <c r="D37" t="n">
        <v>0.028</v>
      </c>
      <c r="E37">
        <f>IF(Calculator!$D$6="Married Filing Jointly",B37,C37)</f>
        <v/>
      </c>
    </row>
    <row r="38">
      <c r="B38" t="n">
        <v>5000000</v>
      </c>
      <c r="C38" t="n">
        <v>5000000</v>
      </c>
      <c r="D38" t="n">
        <v>0.0065</v>
      </c>
      <c r="E38">
        <f>IF(Calculator!$D$6="Married Filing Jointly",B38,C38)</f>
        <v/>
      </c>
    </row>
    <row r="39">
      <c r="B39" t="n">
        <v>25000000</v>
      </c>
      <c r="C39" t="n">
        <v>25000000</v>
      </c>
      <c r="D39" t="n">
        <v>0.006</v>
      </c>
      <c r="E39">
        <f>IF(Calculator!$D$6="Married Filing Jointly",B39,C39)</f>
        <v/>
      </c>
    </row>
    <row r="42">
      <c r="A42" t="inlineStr">
        <is>
          <t>NY std deduction</t>
        </is>
      </c>
      <c r="B42" t="n">
        <v>16050</v>
      </c>
      <c r="C42" t="n">
        <v>8000</v>
      </c>
      <c r="D42">
        <f>IF(Calculator!$D$6="Married Filing Jointly",B42,C42)</f>
        <v/>
      </c>
    </row>
    <row r="43">
      <c r="A43" t="inlineStr">
        <is>
          <t>NY pension/IRA exclusion per person</t>
        </is>
      </c>
      <c r="D43" t="n">
        <v>20000</v>
      </c>
    </row>
    <row r="45">
      <c r="A45" t="inlineStr">
        <is>
          <t>CALCULATOR ENGINE (do not edit)</t>
        </is>
      </c>
    </row>
    <row r="46">
      <c r="A46" t="inlineStr">
        <is>
          <t>OrdinaryOther</t>
        </is>
      </c>
      <c r="B46">
        <f>Calculator!$D$10+Calculator!$D$11+Calculator!$D$12</f>
        <v/>
      </c>
    </row>
    <row r="47">
      <c r="A47" t="inlineStr">
        <is>
          <t>LTCG</t>
        </is>
      </c>
      <c r="B47">
        <f>Calculator!$D$13</f>
        <v/>
      </c>
    </row>
    <row r="48">
      <c r="A48" t="inlineStr">
        <is>
          <t>TaxExempt</t>
        </is>
      </c>
      <c r="B48">
        <f>Calculator!$D$14</f>
        <v/>
      </c>
    </row>
    <row r="49">
      <c r="A49" t="inlineStr">
        <is>
          <t>QBI</t>
        </is>
      </c>
      <c r="B49">
        <f>Calculator!$D$15</f>
        <v/>
      </c>
    </row>
    <row r="50">
      <c r="A50" t="inlineStr">
        <is>
          <t>TotalSS</t>
        </is>
      </c>
      <c r="B50">
        <f>Calculator!$D$16+Calculator!$D$17</f>
        <v/>
      </c>
    </row>
    <row r="51">
      <c r="A51" t="inlineStr">
        <is>
          <t>Provisional</t>
        </is>
      </c>
      <c r="B51">
        <f>B46+B47+B48+0.5*B50</f>
        <v/>
      </c>
    </row>
    <row r="52">
      <c r="A52" t="inlineStr">
        <is>
          <t>TaxableSS</t>
        </is>
      </c>
      <c r="B52">
        <f>MIN(0.85*B50,MIN(0.5*B50,0.5*MIN(MAX(B51-$F$2,0),$F$3-$F$2))+0.85*MAX(B51-$F$3,0))</f>
        <v/>
      </c>
    </row>
    <row r="53">
      <c r="A53" t="inlineStr">
        <is>
          <t>AGI</t>
        </is>
      </c>
      <c r="B53">
        <f>B46+B47+B52</f>
        <v/>
      </c>
    </row>
    <row r="54">
      <c r="A54" t="inlineStr">
        <is>
          <t>Count65</t>
        </is>
      </c>
      <c r="B54">
        <f>(Calculator!$D$7&gt;=65)+IF(Calculator!$D$6="Married Filing Jointly",(Calculator!$D$8&gt;=65),0)</f>
        <v/>
      </c>
    </row>
    <row r="55">
      <c r="A55" t="inlineStr">
        <is>
          <t>StdDed</t>
        </is>
      </c>
      <c r="B55">
        <f>$F$4+$F$5*B54</f>
        <v/>
      </c>
    </row>
    <row r="56">
      <c r="A56" t="inlineStr">
        <is>
          <t>SeniorBonus</t>
        </is>
      </c>
      <c r="B56">
        <f>MAX(0,MIN($F$6*B54,$F$6*B54-$F$8*MAX(0,(B53+B48)-$F$7)))</f>
        <v/>
      </c>
    </row>
    <row r="57">
      <c r="A57" t="inlineStr">
        <is>
          <t>TaxableIncome</t>
        </is>
      </c>
      <c r="B57">
        <f>MAX(0,B53-B55-B56-B49)</f>
        <v/>
      </c>
    </row>
    <row r="58">
      <c r="A58" t="inlineStr">
        <is>
          <t>LTCGportion</t>
        </is>
      </c>
      <c r="B58">
        <f>MIN(B47,B57)</f>
        <v/>
      </c>
    </row>
    <row r="59">
      <c r="A59" t="inlineStr">
        <is>
          <t>OrdTaxable</t>
        </is>
      </c>
      <c r="B59">
        <f>B57-B58</f>
        <v/>
      </c>
    </row>
    <row r="60">
      <c r="A60" t="inlineStr">
        <is>
          <t>OrdTax</t>
        </is>
      </c>
      <c r="B60">
        <f>SUMPRODUCT((B59&gt;$G$13:$G$19)*(B59-$G$13:$G$19)*$F$13:$F$19)</f>
        <v/>
      </c>
    </row>
    <row r="61">
      <c r="A61" t="inlineStr">
        <is>
          <t>g0</t>
        </is>
      </c>
      <c r="B61">
        <f>MIN(B58,MAX(0,$F$9-B59))</f>
        <v/>
      </c>
    </row>
    <row r="62">
      <c r="A62" t="inlineStr">
        <is>
          <t>rem</t>
        </is>
      </c>
      <c r="B62">
        <f>B58-B61</f>
        <v/>
      </c>
    </row>
    <row r="63">
      <c r="A63" t="inlineStr">
        <is>
          <t>room15</t>
        </is>
      </c>
      <c r="B63">
        <f>MAX(0,$F$10-MAX(B59,$F$9))</f>
        <v/>
      </c>
    </row>
    <row r="64">
      <c r="A64" t="inlineStr">
        <is>
          <t>g15</t>
        </is>
      </c>
      <c r="B64">
        <f>MIN(B62,B63)</f>
        <v/>
      </c>
    </row>
    <row r="65">
      <c r="A65" t="inlineStr">
        <is>
          <t>CapTax</t>
        </is>
      </c>
      <c r="B65">
        <f>0.15*B64+0.2*(B62-B64)</f>
        <v/>
      </c>
    </row>
    <row r="66">
      <c r="A66" t="inlineStr">
        <is>
          <t>FederalTax</t>
        </is>
      </c>
      <c r="B66">
        <f>B60+B65</f>
        <v/>
      </c>
    </row>
    <row r="67">
      <c r="A67" t="inlineStr">
        <is>
          <t>IRMAA_MAGI</t>
        </is>
      </c>
      <c r="B67">
        <f>B53+B48</f>
        <v/>
      </c>
    </row>
    <row r="68">
      <c r="A68" t="inlineStr">
        <is>
          <t>IRMAA_monthly</t>
        </is>
      </c>
      <c r="B68">
        <f>LOOKUP(B67,$H$22:$H$27,$I$22:$I$27)</f>
        <v/>
      </c>
    </row>
    <row r="69">
      <c r="A69" t="inlineStr">
        <is>
          <t>IRMAA_surch_mo</t>
        </is>
      </c>
      <c r="B69">
        <f>B68-$I$22</f>
        <v/>
      </c>
    </row>
    <row r="70">
      <c r="A70" t="inlineStr">
        <is>
          <t>PeopleMedicare</t>
        </is>
      </c>
      <c r="B70">
        <f>B54</f>
        <v/>
      </c>
    </row>
    <row r="71">
      <c r="A71" t="inlineStr">
        <is>
          <t>IRMAA_ann_house</t>
        </is>
      </c>
      <c r="B71">
        <f>B69*12*B70</f>
        <v/>
      </c>
    </row>
    <row r="72">
      <c r="A72" t="inlineStr">
        <is>
          <t>NumQual59</t>
        </is>
      </c>
      <c r="B72">
        <f>(Calculator!$D$7&gt;=59.5)+IF(Calculator!$D$6="Married Filing Jointly",(Calculator!$D$8&gt;=59.5),0)</f>
        <v/>
      </c>
    </row>
    <row r="73">
      <c r="A73" t="inlineStr">
        <is>
          <t>PensionExcl</t>
        </is>
      </c>
      <c r="B73">
        <f>MIN(Calculator!$D$10+Calculator!$D$11,$D$43*B72)</f>
        <v/>
      </c>
    </row>
    <row r="74">
      <c r="A74" t="inlineStr">
        <is>
          <t>NY_AGI</t>
        </is>
      </c>
      <c r="B74">
        <f>MAX(0,B53-B52-B73)</f>
        <v/>
      </c>
    </row>
    <row r="75">
      <c r="A75" t="inlineStr">
        <is>
          <t>NY_taxable</t>
        </is>
      </c>
      <c r="B75">
        <f>MAX(0,B74-$D$42)</f>
        <v/>
      </c>
    </row>
    <row r="76">
      <c r="A76" t="inlineStr">
        <is>
          <t>NY_tax</t>
        </is>
      </c>
      <c r="B76">
        <f>SUMPRODUCT((B75&gt;$E$31:$E$39)*(B75-$E$31:$E$39)*$D$31:$D$39)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4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8" customWidth="1" min="2" max="2"/>
    <col width="2" customWidth="1" min="3" max="3"/>
    <col width="17" customWidth="1" min="4" max="4"/>
    <col width="2" customWidth="1" min="5" max="5"/>
  </cols>
  <sheetData>
    <row r="2" ht="26" customHeight="1">
      <c r="B2" s="1" t="inlineStr">
        <is>
          <t>SOCIAL SECURITY TAX TORPEDO: Taxability Calculator</t>
        </is>
      </c>
    </row>
    <row r="3">
      <c r="B3" s="2" t="inlineStr">
        <is>
          <t>See how each dollar of retirement withdrawal drags your Social Security into tax, and spikes Medicare premiums.</t>
        </is>
      </c>
    </row>
    <row r="4" ht="20" customHeight="1">
      <c r="B4" s="3" t="inlineStr">
        <is>
          <t>YOUR INPUTS  (change the gold cells)</t>
        </is>
      </c>
    </row>
    <row r="5">
      <c r="B5" s="4" t="inlineStr">
        <is>
          <t>Tax year</t>
        </is>
      </c>
      <c r="D5" s="5" t="n">
        <v>2025</v>
      </c>
    </row>
    <row r="6">
      <c r="B6" s="4" t="inlineStr">
        <is>
          <t>Filing status</t>
        </is>
      </c>
      <c r="D6" s="6" t="inlineStr">
        <is>
          <t>Married Filing Jointly</t>
        </is>
      </c>
    </row>
    <row r="7">
      <c r="B7" s="4" t="inlineStr">
        <is>
          <t>Your age</t>
        </is>
      </c>
      <c r="D7" s="5" t="n">
        <v>67</v>
      </c>
    </row>
    <row r="8">
      <c r="B8" s="4" t="inlineStr">
        <is>
          <t>Spouse age (ignored if Single)</t>
        </is>
      </c>
      <c r="D8" s="5" t="n">
        <v>67</v>
      </c>
    </row>
    <row r="10">
      <c r="B10" s="4" t="inlineStr">
        <is>
          <t>Traditional IRA / 401(k) / 457 / 403(b) withdrawals</t>
        </is>
      </c>
      <c r="D10" s="7" t="n">
        <v>40000</v>
      </c>
    </row>
    <row r="11">
      <c r="B11" s="4" t="inlineStr">
        <is>
          <t>Pension income</t>
        </is>
      </c>
      <c r="D11" s="7" t="n">
        <v>0</v>
      </c>
    </row>
    <row r="12">
      <c r="B12" s="4" t="inlineStr">
        <is>
          <t>Other ordinary income (taxable interest, etc.)</t>
        </is>
      </c>
      <c r="D12" s="7" t="n">
        <v>0</v>
      </c>
    </row>
    <row r="13">
      <c r="B13" s="4" t="inlineStr">
        <is>
          <t>Long-term capital gains + qualified dividends</t>
        </is>
      </c>
      <c r="D13" s="7" t="n">
        <v>0</v>
      </c>
    </row>
    <row r="14">
      <c r="B14" s="4" t="inlineStr">
        <is>
          <t>Tax-exempt interest (municipal bonds)</t>
        </is>
      </c>
      <c r="D14" s="7" t="n">
        <v>0</v>
      </c>
    </row>
    <row r="15">
      <c r="B15" s="4" t="inlineStr">
        <is>
          <t>QBI / other deduction, if any</t>
        </is>
      </c>
      <c r="D15" s="7" t="n">
        <v>0</v>
      </c>
    </row>
    <row r="16">
      <c r="B16" s="4" t="inlineStr">
        <is>
          <t>Social Security, YOU (annual)</t>
        </is>
      </c>
      <c r="D16" s="7" t="n">
        <v>30000</v>
      </c>
    </row>
    <row r="17">
      <c r="B17" s="4" t="inlineStr">
        <is>
          <t>Social Security, SPOUSE (annual)</t>
        </is>
      </c>
      <c r="D17" s="7" t="n">
        <v>18000</v>
      </c>
    </row>
    <row r="19" ht="20" customHeight="1">
      <c r="B19" s="3" t="inlineStr">
        <is>
          <t>HOW YOUR SOCIAL SECURITY IS TAXED</t>
        </is>
      </c>
    </row>
    <row r="20">
      <c r="B20" s="4" t="inlineStr">
        <is>
          <t>Total Social Security (you + spouse)</t>
        </is>
      </c>
      <c r="D20" s="8">
        <f>Config!$B$50</f>
        <v/>
      </c>
    </row>
    <row r="21">
      <c r="B21" s="9" t="inlineStr">
        <is>
          <t>Provisional / 'combined' income (incl. tax-exempt interest)</t>
        </is>
      </c>
      <c r="D21" s="10">
        <f>Config!$B$51</f>
        <v/>
      </c>
    </row>
    <row r="22">
      <c r="B22" s="11" t="inlineStr">
        <is>
          <t>Taxable Social Security</t>
        </is>
      </c>
      <c r="D22" s="12">
        <f>Config!$B$52</f>
        <v/>
      </c>
    </row>
    <row r="23">
      <c r="B23" s="11" t="inlineStr">
        <is>
          <t>% of your Social Security that is taxed</t>
        </is>
      </c>
      <c r="D23" s="13">
        <f>IF(Config!$B$50=0,0,Config!$B$52/Config!$B$50)</f>
        <v/>
      </c>
    </row>
    <row r="25" ht="20" customHeight="1">
      <c r="B25" s="3" t="inlineStr">
        <is>
          <t>FEDERAL INCOME TAX</t>
        </is>
      </c>
    </row>
    <row r="26">
      <c r="B26" s="4" t="inlineStr">
        <is>
          <t>Adjusted Gross Income (AGI)</t>
        </is>
      </c>
      <c r="D26" s="8">
        <f>Config!$B$53</f>
        <v/>
      </c>
    </row>
    <row r="27">
      <c r="B27" s="4" t="inlineStr">
        <is>
          <t>Standard deduction (incl. age-65 bump)</t>
        </is>
      </c>
      <c r="D27" s="8">
        <f>Config!$B$55</f>
        <v/>
      </c>
    </row>
    <row r="28">
      <c r="B28" s="4" t="inlineStr">
        <is>
          <t>Senior bonus deduction (OBBBA, 2025-28)</t>
        </is>
      </c>
      <c r="D28" s="8">
        <f>Config!$B$56</f>
        <v/>
      </c>
    </row>
    <row r="29">
      <c r="B29" s="4" t="inlineStr">
        <is>
          <t>QBI / other deduction</t>
        </is>
      </c>
      <c r="D29" s="8">
        <f>Config!$B$49</f>
        <v/>
      </c>
    </row>
    <row r="30">
      <c r="B30" s="11" t="inlineStr">
        <is>
          <t>Taxable income</t>
        </is>
      </c>
      <c r="D30" s="14">
        <f>Config!$B$57</f>
        <v/>
      </c>
    </row>
    <row r="31">
      <c r="B31" s="11" t="inlineStr">
        <is>
          <t>Federal income tax</t>
        </is>
      </c>
      <c r="D31" s="12">
        <f>Config!$B$66</f>
        <v/>
      </c>
    </row>
    <row r="32">
      <c r="B32" s="4" t="inlineStr">
        <is>
          <t>Effective federal rate (tax ÷ AGI)</t>
        </is>
      </c>
      <c r="D32" s="15">
        <f>IF(Config!$B$53=0,0,Config!$B$66/Config!$B$53)</f>
        <v/>
      </c>
    </row>
    <row r="34" ht="20" customHeight="1">
      <c r="B34" s="3" t="inlineStr">
        <is>
          <t>NEW YORK STATE TAX  (2025 law: SS is NOT taxed by NY)</t>
        </is>
      </c>
    </row>
    <row r="35">
      <c r="B35" s="4" t="inlineStr">
        <is>
          <t>NY pension / IRA exclusion applied</t>
        </is>
      </c>
      <c r="D35" s="8">
        <f>Config!$B$73</f>
        <v/>
      </c>
    </row>
    <row r="36">
      <c r="B36" s="4" t="inlineStr">
        <is>
          <t>NY taxable income</t>
        </is>
      </c>
      <c r="D36" s="8">
        <f>Config!$B$75</f>
        <v/>
      </c>
    </row>
    <row r="37">
      <c r="B37" s="11" t="inlineStr">
        <is>
          <t>New York State income tax</t>
        </is>
      </c>
      <c r="D37" s="12">
        <f>Config!$B$76</f>
        <v/>
      </c>
    </row>
    <row r="39" ht="20" customHeight="1">
      <c r="B39" s="3" t="inlineStr">
        <is>
          <t>MEDICARE IRMAA  (premium surcharge: the torpedo's twin)</t>
        </is>
      </c>
    </row>
    <row r="40">
      <c r="B40" s="4" t="inlineStr">
        <is>
          <t>IRMAA MAGI (AGI + tax-exempt interest)</t>
        </is>
      </c>
      <c r="D40" s="8">
        <f>Config!$B$67</f>
        <v/>
      </c>
    </row>
    <row r="41">
      <c r="B41" s="4" t="inlineStr">
        <is>
          <t>Your monthly Part B premium (per person, this tier)</t>
        </is>
      </c>
      <c r="D41" s="16">
        <f>Config!$B$68</f>
        <v/>
      </c>
    </row>
    <row r="42">
      <c r="B42" s="11" t="inlineStr">
        <is>
          <t>Extra IRMAA surcharge vs. base (household / year)</t>
        </is>
      </c>
      <c r="D42" s="12">
        <f>Config!$B$71</f>
        <v/>
      </c>
    </row>
    <row r="44">
      <c r="B44" s="17" t="inlineStr">
        <is>
          <t>Educational estimate. The four Social Security thresholds ($25k/$32k, $34k/$44k) have NEVER been inflation-adjusted since the 1980s/1993; that is what creates the 'torpedo': each added dollar of withdrawal makes up to $0.85 of your Social Security taxable too, pushing your TRUE marginal rate well above your bracket (see the Tax Torpedo tab). Capital gains/qualified dividends also count in provisional income and can trigger it. NY figures use 2025 law; government/military pensions may be fully NY-exempt (not modeled). IRMAA normally uses MAGI from 2 years prior; shown here on current income for planning. NIIT and state muni add-backs not modeled. Not tax advice.</t>
        </is>
      </c>
    </row>
    <row r="45"/>
    <row r="46"/>
    <row r="47"/>
    <row r="48"/>
    <row r="49"/>
  </sheetData>
  <mergeCells count="8">
    <mergeCell ref="B3:D3"/>
    <mergeCell ref="B19:D19"/>
    <mergeCell ref="B4:D4"/>
    <mergeCell ref="B44:D49"/>
    <mergeCell ref="B39:D39"/>
    <mergeCell ref="B25:D25"/>
    <mergeCell ref="B2:D2"/>
    <mergeCell ref="B34:D34"/>
  </mergeCells>
  <dataValidations count="2">
    <dataValidation sqref="D5" showDropDown="0" showInputMessage="0" showErrorMessage="0" allowBlank="0" type="list">
      <formula1>"2025,2026"</formula1>
    </dataValidation>
    <dataValidation sqref="D6" showDropDown="0" showInputMessage="0" showErrorMessage="0" allowBlank="0" type="list">
      <formula1>"Married Filing Jointly,Single"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0" customWidth="1" min="4" max="4"/>
    <col width="12" customWidth="1" min="5" max="5"/>
    <col width="13" customWidth="1" min="6" max="6"/>
    <col width="12" customWidth="1" min="7" max="7"/>
    <col width="15" customWidth="1" min="8" max="8"/>
    <col width="13" customWidth="1" min="9" max="9"/>
    <col width="15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 ht="24" customHeight="1">
      <c r="A1" s="18" t="inlineStr">
        <is>
          <t>THE SOCIAL SECURITY TAX TORPEDO: what happens as withdrawals rise</t>
        </is>
      </c>
    </row>
    <row r="2">
      <c r="A2" s="2" t="inlineStr">
        <is>
          <t>Holds every Calculator input fixed except the traditional withdrawal, which steps up $5,000 at a time. Watch the marginal rate spike inside the torpedo zone (red), then fall back, and the IRMAA surcharge appear.</t>
        </is>
      </c>
    </row>
    <row r="4" ht="34" customHeight="1">
      <c r="A4" s="19" t="inlineStr">
        <is>
          <t>Withdrawal</t>
        </is>
      </c>
      <c r="B4" s="19" t="inlineStr">
        <is>
          <t>Provisional income</t>
        </is>
      </c>
      <c r="C4" s="19" t="inlineStr">
        <is>
          <t>Taxable SS</t>
        </is>
      </c>
      <c r="D4" s="19" t="inlineStr">
        <is>
          <t>% SS taxed</t>
        </is>
      </c>
      <c r="E4" s="19" t="inlineStr">
        <is>
          <t>AGI</t>
        </is>
      </c>
      <c r="F4" s="19" t="inlineStr">
        <is>
          <t>Taxable income</t>
        </is>
      </c>
      <c r="G4" s="19" t="inlineStr">
        <is>
          <t>Federal tax</t>
        </is>
      </c>
      <c r="H4" s="19" t="inlineStr">
        <is>
          <t>Marginal rate on next $5k</t>
        </is>
      </c>
      <c r="I4" s="19" t="inlineStr">
        <is>
          <t>IRMAA premium/mo</t>
        </is>
      </c>
      <c r="J4" s="19" t="inlineStr">
        <is>
          <t>IRMAA surcharge/yr (hh)</t>
        </is>
      </c>
    </row>
    <row r="5">
      <c r="A5" s="20" t="n">
        <v>0</v>
      </c>
      <c r="B5" s="20">
        <f>(A5+(Calculator!$D$11+Calculator!$D$12)+Calculator!$D$13+Calculator!$D$14+0.5*Config!$B$50)</f>
        <v/>
      </c>
      <c r="C5" s="20">
        <f>MIN(0.85*Config!$B$50,MIN(0.5*Config!$B$50,0.5*MIN(MAX(B5-Config!$F$2,0),Config!$F$3-Config!$F$2))+0.85*MAX(B5-Config!$F$3,0))</f>
        <v/>
      </c>
      <c r="D5" s="21">
        <f>IF(Config!$B$50=0,0,C5/Config!$B$50)</f>
        <v/>
      </c>
      <c r="E5" s="20">
        <f>(A5+(Calculator!$D$11+Calculator!$D$12)+Calculator!$D$13)+C5</f>
        <v/>
      </c>
      <c r="F5" s="20">
        <f>MAX(0,E5-Config!$B$55-K5-Calculator!$D$15)</f>
        <v/>
      </c>
      <c r="G5" s="20">
        <f>SUMPRODUCT((M5&gt;Config!$G$13:$G$19)*(M5-Config!$G$13:$G$19)*Config!$F$13:$F$19)+0.15*Q5+0.2*(O5-Q5)</f>
        <v/>
      </c>
      <c r="H5" s="21" t="n"/>
      <c r="I5" s="22">
        <f>LOOKUP(E5+Calculator!$D$14,Config!$H$22:$H$27,Config!$I$22:$I$27)</f>
        <v/>
      </c>
      <c r="J5" s="20">
        <f>(I5-Config!$I$22)*12*Config!$B$54</f>
        <v/>
      </c>
      <c r="K5">
        <f>MAX(0,MIN(Config!$F$6*Config!$B$54,Config!$F$6*Config!$B$54-Config!$F$8*MAX(0,(E5+Calculator!$D$14)-Config!$F$7)))</f>
        <v/>
      </c>
      <c r="L5">
        <f>MIN(Calculator!$D$13,F5)</f>
        <v/>
      </c>
      <c r="M5">
        <f>F5-L5</f>
        <v/>
      </c>
      <c r="N5">
        <f>MIN(L5,MAX(0,Config!$F$9-M5))</f>
        <v/>
      </c>
      <c r="O5">
        <f>L5-N5</f>
        <v/>
      </c>
      <c r="P5">
        <f>MAX(0,Config!$F$10-MAX(M5,Config!$F$9))</f>
        <v/>
      </c>
      <c r="Q5">
        <f>MIN(O5,P5)</f>
        <v/>
      </c>
    </row>
    <row r="6">
      <c r="A6" s="20">
        <f>A5+5000</f>
        <v/>
      </c>
      <c r="B6" s="20">
        <f>(A6+(Calculator!$D$11+Calculator!$D$12)+Calculator!$D$13+Calculator!$D$14+0.5*Config!$B$50)</f>
        <v/>
      </c>
      <c r="C6" s="20">
        <f>MIN(0.85*Config!$B$50,MIN(0.5*Config!$B$50,0.5*MIN(MAX(B6-Config!$F$2,0),Config!$F$3-Config!$F$2))+0.85*MAX(B6-Config!$F$3,0))</f>
        <v/>
      </c>
      <c r="D6" s="21">
        <f>IF(Config!$B$50=0,0,C6/Config!$B$50)</f>
        <v/>
      </c>
      <c r="E6" s="20">
        <f>(A6+(Calculator!$D$11+Calculator!$D$12)+Calculator!$D$13)+C6</f>
        <v/>
      </c>
      <c r="F6" s="20">
        <f>MAX(0,E6-Config!$B$55-K6-Calculator!$D$15)</f>
        <v/>
      </c>
      <c r="G6" s="20">
        <f>SUMPRODUCT((M6&gt;Config!$G$13:$G$19)*(M6-Config!$G$13:$G$19)*Config!$F$13:$F$19)+0.15*Q6+0.2*(O6-Q6)</f>
        <v/>
      </c>
      <c r="H6" s="21">
        <f>(G6-G5)/5000</f>
        <v/>
      </c>
      <c r="I6" s="22">
        <f>LOOKUP(E6+Calculator!$D$14,Config!$H$22:$H$27,Config!$I$22:$I$27)</f>
        <v/>
      </c>
      <c r="J6" s="20">
        <f>(I6-Config!$I$22)*12*Config!$B$54</f>
        <v/>
      </c>
      <c r="K6">
        <f>MAX(0,MIN(Config!$F$6*Config!$B$54,Config!$F$6*Config!$B$54-Config!$F$8*MAX(0,(E6+Calculator!$D$14)-Config!$F$7)))</f>
        <v/>
      </c>
      <c r="L6">
        <f>MIN(Calculator!$D$13,F6)</f>
        <v/>
      </c>
      <c r="M6">
        <f>F6-L6</f>
        <v/>
      </c>
      <c r="N6">
        <f>MIN(L6,MAX(0,Config!$F$9-M6))</f>
        <v/>
      </c>
      <c r="O6">
        <f>L6-N6</f>
        <v/>
      </c>
      <c r="P6">
        <f>MAX(0,Config!$F$10-MAX(M6,Config!$F$9))</f>
        <v/>
      </c>
      <c r="Q6">
        <f>MIN(O6,P6)</f>
        <v/>
      </c>
    </row>
    <row r="7">
      <c r="A7" s="20">
        <f>A6+5000</f>
        <v/>
      </c>
      <c r="B7" s="20">
        <f>(A7+(Calculator!$D$11+Calculator!$D$12)+Calculator!$D$13+Calculator!$D$14+0.5*Config!$B$50)</f>
        <v/>
      </c>
      <c r="C7" s="20">
        <f>MIN(0.85*Config!$B$50,MIN(0.5*Config!$B$50,0.5*MIN(MAX(B7-Config!$F$2,0),Config!$F$3-Config!$F$2))+0.85*MAX(B7-Config!$F$3,0))</f>
        <v/>
      </c>
      <c r="D7" s="21">
        <f>IF(Config!$B$50=0,0,C7/Config!$B$50)</f>
        <v/>
      </c>
      <c r="E7" s="20">
        <f>(A7+(Calculator!$D$11+Calculator!$D$12)+Calculator!$D$13)+C7</f>
        <v/>
      </c>
      <c r="F7" s="20">
        <f>MAX(0,E7-Config!$B$55-K7-Calculator!$D$15)</f>
        <v/>
      </c>
      <c r="G7" s="20">
        <f>SUMPRODUCT((M7&gt;Config!$G$13:$G$19)*(M7-Config!$G$13:$G$19)*Config!$F$13:$F$19)+0.15*Q7+0.2*(O7-Q7)</f>
        <v/>
      </c>
      <c r="H7" s="21">
        <f>(G7-G6)/5000</f>
        <v/>
      </c>
      <c r="I7" s="22">
        <f>LOOKUP(E7+Calculator!$D$14,Config!$H$22:$H$27,Config!$I$22:$I$27)</f>
        <v/>
      </c>
      <c r="J7" s="20">
        <f>(I7-Config!$I$22)*12*Config!$B$54</f>
        <v/>
      </c>
      <c r="K7">
        <f>MAX(0,MIN(Config!$F$6*Config!$B$54,Config!$F$6*Config!$B$54-Config!$F$8*MAX(0,(E7+Calculator!$D$14)-Config!$F$7)))</f>
        <v/>
      </c>
      <c r="L7">
        <f>MIN(Calculator!$D$13,F7)</f>
        <v/>
      </c>
      <c r="M7">
        <f>F7-L7</f>
        <v/>
      </c>
      <c r="N7">
        <f>MIN(L7,MAX(0,Config!$F$9-M7))</f>
        <v/>
      </c>
      <c r="O7">
        <f>L7-N7</f>
        <v/>
      </c>
      <c r="P7">
        <f>MAX(0,Config!$F$10-MAX(M7,Config!$F$9))</f>
        <v/>
      </c>
      <c r="Q7">
        <f>MIN(O7,P7)</f>
        <v/>
      </c>
    </row>
    <row r="8">
      <c r="A8" s="20">
        <f>A7+5000</f>
        <v/>
      </c>
      <c r="B8" s="20">
        <f>(A8+(Calculator!$D$11+Calculator!$D$12)+Calculator!$D$13+Calculator!$D$14+0.5*Config!$B$50)</f>
        <v/>
      </c>
      <c r="C8" s="20">
        <f>MIN(0.85*Config!$B$50,MIN(0.5*Config!$B$50,0.5*MIN(MAX(B8-Config!$F$2,0),Config!$F$3-Config!$F$2))+0.85*MAX(B8-Config!$F$3,0))</f>
        <v/>
      </c>
      <c r="D8" s="21">
        <f>IF(Config!$B$50=0,0,C8/Config!$B$50)</f>
        <v/>
      </c>
      <c r="E8" s="20">
        <f>(A8+(Calculator!$D$11+Calculator!$D$12)+Calculator!$D$13)+C8</f>
        <v/>
      </c>
      <c r="F8" s="20">
        <f>MAX(0,E8-Config!$B$55-K8-Calculator!$D$15)</f>
        <v/>
      </c>
      <c r="G8" s="20">
        <f>SUMPRODUCT((M8&gt;Config!$G$13:$G$19)*(M8-Config!$G$13:$G$19)*Config!$F$13:$F$19)+0.15*Q8+0.2*(O8-Q8)</f>
        <v/>
      </c>
      <c r="H8" s="21">
        <f>(G8-G7)/5000</f>
        <v/>
      </c>
      <c r="I8" s="22">
        <f>LOOKUP(E8+Calculator!$D$14,Config!$H$22:$H$27,Config!$I$22:$I$27)</f>
        <v/>
      </c>
      <c r="J8" s="20">
        <f>(I8-Config!$I$22)*12*Config!$B$54</f>
        <v/>
      </c>
      <c r="K8">
        <f>MAX(0,MIN(Config!$F$6*Config!$B$54,Config!$F$6*Config!$B$54-Config!$F$8*MAX(0,(E8+Calculator!$D$14)-Config!$F$7)))</f>
        <v/>
      </c>
      <c r="L8">
        <f>MIN(Calculator!$D$13,F8)</f>
        <v/>
      </c>
      <c r="M8">
        <f>F8-L8</f>
        <v/>
      </c>
      <c r="N8">
        <f>MIN(L8,MAX(0,Config!$F$9-M8))</f>
        <v/>
      </c>
      <c r="O8">
        <f>L8-N8</f>
        <v/>
      </c>
      <c r="P8">
        <f>MAX(0,Config!$F$10-MAX(M8,Config!$F$9))</f>
        <v/>
      </c>
      <c r="Q8">
        <f>MIN(O8,P8)</f>
        <v/>
      </c>
    </row>
    <row r="9">
      <c r="A9" s="20">
        <f>A8+5000</f>
        <v/>
      </c>
      <c r="B9" s="20">
        <f>(A9+(Calculator!$D$11+Calculator!$D$12)+Calculator!$D$13+Calculator!$D$14+0.5*Config!$B$50)</f>
        <v/>
      </c>
      <c r="C9" s="20">
        <f>MIN(0.85*Config!$B$50,MIN(0.5*Config!$B$50,0.5*MIN(MAX(B9-Config!$F$2,0),Config!$F$3-Config!$F$2))+0.85*MAX(B9-Config!$F$3,0))</f>
        <v/>
      </c>
      <c r="D9" s="21">
        <f>IF(Config!$B$50=0,0,C9/Config!$B$50)</f>
        <v/>
      </c>
      <c r="E9" s="20">
        <f>(A9+(Calculator!$D$11+Calculator!$D$12)+Calculator!$D$13)+C9</f>
        <v/>
      </c>
      <c r="F9" s="20">
        <f>MAX(0,E9-Config!$B$55-K9-Calculator!$D$15)</f>
        <v/>
      </c>
      <c r="G9" s="20">
        <f>SUMPRODUCT((M9&gt;Config!$G$13:$G$19)*(M9-Config!$G$13:$G$19)*Config!$F$13:$F$19)+0.15*Q9+0.2*(O9-Q9)</f>
        <v/>
      </c>
      <c r="H9" s="21">
        <f>(G9-G8)/5000</f>
        <v/>
      </c>
      <c r="I9" s="22">
        <f>LOOKUP(E9+Calculator!$D$14,Config!$H$22:$H$27,Config!$I$22:$I$27)</f>
        <v/>
      </c>
      <c r="J9" s="20">
        <f>(I9-Config!$I$22)*12*Config!$B$54</f>
        <v/>
      </c>
      <c r="K9">
        <f>MAX(0,MIN(Config!$F$6*Config!$B$54,Config!$F$6*Config!$B$54-Config!$F$8*MAX(0,(E9+Calculator!$D$14)-Config!$F$7)))</f>
        <v/>
      </c>
      <c r="L9">
        <f>MIN(Calculator!$D$13,F9)</f>
        <v/>
      </c>
      <c r="M9">
        <f>F9-L9</f>
        <v/>
      </c>
      <c r="N9">
        <f>MIN(L9,MAX(0,Config!$F$9-M9))</f>
        <v/>
      </c>
      <c r="O9">
        <f>L9-N9</f>
        <v/>
      </c>
      <c r="P9">
        <f>MAX(0,Config!$F$10-MAX(M9,Config!$F$9))</f>
        <v/>
      </c>
      <c r="Q9">
        <f>MIN(O9,P9)</f>
        <v/>
      </c>
    </row>
    <row r="10">
      <c r="A10" s="20">
        <f>A9+5000</f>
        <v/>
      </c>
      <c r="B10" s="20">
        <f>(A10+(Calculator!$D$11+Calculator!$D$12)+Calculator!$D$13+Calculator!$D$14+0.5*Config!$B$50)</f>
        <v/>
      </c>
      <c r="C10" s="20">
        <f>MIN(0.85*Config!$B$50,MIN(0.5*Config!$B$50,0.5*MIN(MAX(B10-Config!$F$2,0),Config!$F$3-Config!$F$2))+0.85*MAX(B10-Config!$F$3,0))</f>
        <v/>
      </c>
      <c r="D10" s="21">
        <f>IF(Config!$B$50=0,0,C10/Config!$B$50)</f>
        <v/>
      </c>
      <c r="E10" s="20">
        <f>(A10+(Calculator!$D$11+Calculator!$D$12)+Calculator!$D$13)+C10</f>
        <v/>
      </c>
      <c r="F10" s="20">
        <f>MAX(0,E10-Config!$B$55-K10-Calculator!$D$15)</f>
        <v/>
      </c>
      <c r="G10" s="20">
        <f>SUMPRODUCT((M10&gt;Config!$G$13:$G$19)*(M10-Config!$G$13:$G$19)*Config!$F$13:$F$19)+0.15*Q10+0.2*(O10-Q10)</f>
        <v/>
      </c>
      <c r="H10" s="21">
        <f>(G10-G9)/5000</f>
        <v/>
      </c>
      <c r="I10" s="22">
        <f>LOOKUP(E10+Calculator!$D$14,Config!$H$22:$H$27,Config!$I$22:$I$27)</f>
        <v/>
      </c>
      <c r="J10" s="20">
        <f>(I10-Config!$I$22)*12*Config!$B$54</f>
        <v/>
      </c>
      <c r="K10">
        <f>MAX(0,MIN(Config!$F$6*Config!$B$54,Config!$F$6*Config!$B$54-Config!$F$8*MAX(0,(E10+Calculator!$D$14)-Config!$F$7)))</f>
        <v/>
      </c>
      <c r="L10">
        <f>MIN(Calculator!$D$13,F10)</f>
        <v/>
      </c>
      <c r="M10">
        <f>F10-L10</f>
        <v/>
      </c>
      <c r="N10">
        <f>MIN(L10,MAX(0,Config!$F$9-M10))</f>
        <v/>
      </c>
      <c r="O10">
        <f>L10-N10</f>
        <v/>
      </c>
      <c r="P10">
        <f>MAX(0,Config!$F$10-MAX(M10,Config!$F$9))</f>
        <v/>
      </c>
      <c r="Q10">
        <f>MIN(O10,P10)</f>
        <v/>
      </c>
    </row>
    <row r="11">
      <c r="A11" s="20">
        <f>A10+5000</f>
        <v/>
      </c>
      <c r="B11" s="20">
        <f>(A11+(Calculator!$D$11+Calculator!$D$12)+Calculator!$D$13+Calculator!$D$14+0.5*Config!$B$50)</f>
        <v/>
      </c>
      <c r="C11" s="20">
        <f>MIN(0.85*Config!$B$50,MIN(0.5*Config!$B$50,0.5*MIN(MAX(B11-Config!$F$2,0),Config!$F$3-Config!$F$2))+0.85*MAX(B11-Config!$F$3,0))</f>
        <v/>
      </c>
      <c r="D11" s="21">
        <f>IF(Config!$B$50=0,0,C11/Config!$B$50)</f>
        <v/>
      </c>
      <c r="E11" s="20">
        <f>(A11+(Calculator!$D$11+Calculator!$D$12)+Calculator!$D$13)+C11</f>
        <v/>
      </c>
      <c r="F11" s="20">
        <f>MAX(0,E11-Config!$B$55-K11-Calculator!$D$15)</f>
        <v/>
      </c>
      <c r="G11" s="20">
        <f>SUMPRODUCT((M11&gt;Config!$G$13:$G$19)*(M11-Config!$G$13:$G$19)*Config!$F$13:$F$19)+0.15*Q11+0.2*(O11-Q11)</f>
        <v/>
      </c>
      <c r="H11" s="21">
        <f>(G11-G10)/5000</f>
        <v/>
      </c>
      <c r="I11" s="22">
        <f>LOOKUP(E11+Calculator!$D$14,Config!$H$22:$H$27,Config!$I$22:$I$27)</f>
        <v/>
      </c>
      <c r="J11" s="20">
        <f>(I11-Config!$I$22)*12*Config!$B$54</f>
        <v/>
      </c>
      <c r="K11">
        <f>MAX(0,MIN(Config!$F$6*Config!$B$54,Config!$F$6*Config!$B$54-Config!$F$8*MAX(0,(E11+Calculator!$D$14)-Config!$F$7)))</f>
        <v/>
      </c>
      <c r="L11">
        <f>MIN(Calculator!$D$13,F11)</f>
        <v/>
      </c>
      <c r="M11">
        <f>F11-L11</f>
        <v/>
      </c>
      <c r="N11">
        <f>MIN(L11,MAX(0,Config!$F$9-M11))</f>
        <v/>
      </c>
      <c r="O11">
        <f>L11-N11</f>
        <v/>
      </c>
      <c r="P11">
        <f>MAX(0,Config!$F$10-MAX(M11,Config!$F$9))</f>
        <v/>
      </c>
      <c r="Q11">
        <f>MIN(O11,P11)</f>
        <v/>
      </c>
    </row>
    <row r="12">
      <c r="A12" s="20">
        <f>A11+5000</f>
        <v/>
      </c>
      <c r="B12" s="20">
        <f>(A12+(Calculator!$D$11+Calculator!$D$12)+Calculator!$D$13+Calculator!$D$14+0.5*Config!$B$50)</f>
        <v/>
      </c>
      <c r="C12" s="20">
        <f>MIN(0.85*Config!$B$50,MIN(0.5*Config!$B$50,0.5*MIN(MAX(B12-Config!$F$2,0),Config!$F$3-Config!$F$2))+0.85*MAX(B12-Config!$F$3,0))</f>
        <v/>
      </c>
      <c r="D12" s="21">
        <f>IF(Config!$B$50=0,0,C12/Config!$B$50)</f>
        <v/>
      </c>
      <c r="E12" s="20">
        <f>(A12+(Calculator!$D$11+Calculator!$D$12)+Calculator!$D$13)+C12</f>
        <v/>
      </c>
      <c r="F12" s="20">
        <f>MAX(0,E12-Config!$B$55-K12-Calculator!$D$15)</f>
        <v/>
      </c>
      <c r="G12" s="20">
        <f>SUMPRODUCT((M12&gt;Config!$G$13:$G$19)*(M12-Config!$G$13:$G$19)*Config!$F$13:$F$19)+0.15*Q12+0.2*(O12-Q12)</f>
        <v/>
      </c>
      <c r="H12" s="21">
        <f>(G12-G11)/5000</f>
        <v/>
      </c>
      <c r="I12" s="22">
        <f>LOOKUP(E12+Calculator!$D$14,Config!$H$22:$H$27,Config!$I$22:$I$27)</f>
        <v/>
      </c>
      <c r="J12" s="20">
        <f>(I12-Config!$I$22)*12*Config!$B$54</f>
        <v/>
      </c>
      <c r="K12">
        <f>MAX(0,MIN(Config!$F$6*Config!$B$54,Config!$F$6*Config!$B$54-Config!$F$8*MAX(0,(E12+Calculator!$D$14)-Config!$F$7)))</f>
        <v/>
      </c>
      <c r="L12">
        <f>MIN(Calculator!$D$13,F12)</f>
        <v/>
      </c>
      <c r="M12">
        <f>F12-L12</f>
        <v/>
      </c>
      <c r="N12">
        <f>MIN(L12,MAX(0,Config!$F$9-M12))</f>
        <v/>
      </c>
      <c r="O12">
        <f>L12-N12</f>
        <v/>
      </c>
      <c r="P12">
        <f>MAX(0,Config!$F$10-MAX(M12,Config!$F$9))</f>
        <v/>
      </c>
      <c r="Q12">
        <f>MIN(O12,P12)</f>
        <v/>
      </c>
    </row>
    <row r="13">
      <c r="A13" s="20">
        <f>A12+5000</f>
        <v/>
      </c>
      <c r="B13" s="20">
        <f>(A13+(Calculator!$D$11+Calculator!$D$12)+Calculator!$D$13+Calculator!$D$14+0.5*Config!$B$50)</f>
        <v/>
      </c>
      <c r="C13" s="20">
        <f>MIN(0.85*Config!$B$50,MIN(0.5*Config!$B$50,0.5*MIN(MAX(B13-Config!$F$2,0),Config!$F$3-Config!$F$2))+0.85*MAX(B13-Config!$F$3,0))</f>
        <v/>
      </c>
      <c r="D13" s="21">
        <f>IF(Config!$B$50=0,0,C13/Config!$B$50)</f>
        <v/>
      </c>
      <c r="E13" s="20">
        <f>(A13+(Calculator!$D$11+Calculator!$D$12)+Calculator!$D$13)+C13</f>
        <v/>
      </c>
      <c r="F13" s="20">
        <f>MAX(0,E13-Config!$B$55-K13-Calculator!$D$15)</f>
        <v/>
      </c>
      <c r="G13" s="20">
        <f>SUMPRODUCT((M13&gt;Config!$G$13:$G$19)*(M13-Config!$G$13:$G$19)*Config!$F$13:$F$19)+0.15*Q13+0.2*(O13-Q13)</f>
        <v/>
      </c>
      <c r="H13" s="21">
        <f>(G13-G12)/5000</f>
        <v/>
      </c>
      <c r="I13" s="22">
        <f>LOOKUP(E13+Calculator!$D$14,Config!$H$22:$H$27,Config!$I$22:$I$27)</f>
        <v/>
      </c>
      <c r="J13" s="20">
        <f>(I13-Config!$I$22)*12*Config!$B$54</f>
        <v/>
      </c>
      <c r="K13">
        <f>MAX(0,MIN(Config!$F$6*Config!$B$54,Config!$F$6*Config!$B$54-Config!$F$8*MAX(0,(E13+Calculator!$D$14)-Config!$F$7)))</f>
        <v/>
      </c>
      <c r="L13">
        <f>MIN(Calculator!$D$13,F13)</f>
        <v/>
      </c>
      <c r="M13">
        <f>F13-L13</f>
        <v/>
      </c>
      <c r="N13">
        <f>MIN(L13,MAX(0,Config!$F$9-M13))</f>
        <v/>
      </c>
      <c r="O13">
        <f>L13-N13</f>
        <v/>
      </c>
      <c r="P13">
        <f>MAX(0,Config!$F$10-MAX(M13,Config!$F$9))</f>
        <v/>
      </c>
      <c r="Q13">
        <f>MIN(O13,P13)</f>
        <v/>
      </c>
    </row>
    <row r="14">
      <c r="A14" s="20">
        <f>A13+5000</f>
        <v/>
      </c>
      <c r="B14" s="20">
        <f>(A14+(Calculator!$D$11+Calculator!$D$12)+Calculator!$D$13+Calculator!$D$14+0.5*Config!$B$50)</f>
        <v/>
      </c>
      <c r="C14" s="20">
        <f>MIN(0.85*Config!$B$50,MIN(0.5*Config!$B$50,0.5*MIN(MAX(B14-Config!$F$2,0),Config!$F$3-Config!$F$2))+0.85*MAX(B14-Config!$F$3,0))</f>
        <v/>
      </c>
      <c r="D14" s="21">
        <f>IF(Config!$B$50=0,0,C14/Config!$B$50)</f>
        <v/>
      </c>
      <c r="E14" s="20">
        <f>(A14+(Calculator!$D$11+Calculator!$D$12)+Calculator!$D$13)+C14</f>
        <v/>
      </c>
      <c r="F14" s="20">
        <f>MAX(0,E14-Config!$B$55-K14-Calculator!$D$15)</f>
        <v/>
      </c>
      <c r="G14" s="20">
        <f>SUMPRODUCT((M14&gt;Config!$G$13:$G$19)*(M14-Config!$G$13:$G$19)*Config!$F$13:$F$19)+0.15*Q14+0.2*(O14-Q14)</f>
        <v/>
      </c>
      <c r="H14" s="21">
        <f>(G14-G13)/5000</f>
        <v/>
      </c>
      <c r="I14" s="22">
        <f>LOOKUP(E14+Calculator!$D$14,Config!$H$22:$H$27,Config!$I$22:$I$27)</f>
        <v/>
      </c>
      <c r="J14" s="20">
        <f>(I14-Config!$I$22)*12*Config!$B$54</f>
        <v/>
      </c>
      <c r="K14">
        <f>MAX(0,MIN(Config!$F$6*Config!$B$54,Config!$F$6*Config!$B$54-Config!$F$8*MAX(0,(E14+Calculator!$D$14)-Config!$F$7)))</f>
        <v/>
      </c>
      <c r="L14">
        <f>MIN(Calculator!$D$13,F14)</f>
        <v/>
      </c>
      <c r="M14">
        <f>F14-L14</f>
        <v/>
      </c>
      <c r="N14">
        <f>MIN(L14,MAX(0,Config!$F$9-M14))</f>
        <v/>
      </c>
      <c r="O14">
        <f>L14-N14</f>
        <v/>
      </c>
      <c r="P14">
        <f>MAX(0,Config!$F$10-MAX(M14,Config!$F$9))</f>
        <v/>
      </c>
      <c r="Q14">
        <f>MIN(O14,P14)</f>
        <v/>
      </c>
    </row>
    <row r="15">
      <c r="A15" s="20">
        <f>A14+5000</f>
        <v/>
      </c>
      <c r="B15" s="20">
        <f>(A15+(Calculator!$D$11+Calculator!$D$12)+Calculator!$D$13+Calculator!$D$14+0.5*Config!$B$50)</f>
        <v/>
      </c>
      <c r="C15" s="20">
        <f>MIN(0.85*Config!$B$50,MIN(0.5*Config!$B$50,0.5*MIN(MAX(B15-Config!$F$2,0),Config!$F$3-Config!$F$2))+0.85*MAX(B15-Config!$F$3,0))</f>
        <v/>
      </c>
      <c r="D15" s="21">
        <f>IF(Config!$B$50=0,0,C15/Config!$B$50)</f>
        <v/>
      </c>
      <c r="E15" s="20">
        <f>(A15+(Calculator!$D$11+Calculator!$D$12)+Calculator!$D$13)+C15</f>
        <v/>
      </c>
      <c r="F15" s="20">
        <f>MAX(0,E15-Config!$B$55-K15-Calculator!$D$15)</f>
        <v/>
      </c>
      <c r="G15" s="20">
        <f>SUMPRODUCT((M15&gt;Config!$G$13:$G$19)*(M15-Config!$G$13:$G$19)*Config!$F$13:$F$19)+0.15*Q15+0.2*(O15-Q15)</f>
        <v/>
      </c>
      <c r="H15" s="21">
        <f>(G15-G14)/5000</f>
        <v/>
      </c>
      <c r="I15" s="22">
        <f>LOOKUP(E15+Calculator!$D$14,Config!$H$22:$H$27,Config!$I$22:$I$27)</f>
        <v/>
      </c>
      <c r="J15" s="20">
        <f>(I15-Config!$I$22)*12*Config!$B$54</f>
        <v/>
      </c>
      <c r="K15">
        <f>MAX(0,MIN(Config!$F$6*Config!$B$54,Config!$F$6*Config!$B$54-Config!$F$8*MAX(0,(E15+Calculator!$D$14)-Config!$F$7)))</f>
        <v/>
      </c>
      <c r="L15">
        <f>MIN(Calculator!$D$13,F15)</f>
        <v/>
      </c>
      <c r="M15">
        <f>F15-L15</f>
        <v/>
      </c>
      <c r="N15">
        <f>MIN(L15,MAX(0,Config!$F$9-M15))</f>
        <v/>
      </c>
      <c r="O15">
        <f>L15-N15</f>
        <v/>
      </c>
      <c r="P15">
        <f>MAX(0,Config!$F$10-MAX(M15,Config!$F$9))</f>
        <v/>
      </c>
      <c r="Q15">
        <f>MIN(O15,P15)</f>
        <v/>
      </c>
    </row>
    <row r="16">
      <c r="A16" s="20">
        <f>A15+5000</f>
        <v/>
      </c>
      <c r="B16" s="20">
        <f>(A16+(Calculator!$D$11+Calculator!$D$12)+Calculator!$D$13+Calculator!$D$14+0.5*Config!$B$50)</f>
        <v/>
      </c>
      <c r="C16" s="20">
        <f>MIN(0.85*Config!$B$50,MIN(0.5*Config!$B$50,0.5*MIN(MAX(B16-Config!$F$2,0),Config!$F$3-Config!$F$2))+0.85*MAX(B16-Config!$F$3,0))</f>
        <v/>
      </c>
      <c r="D16" s="21">
        <f>IF(Config!$B$50=0,0,C16/Config!$B$50)</f>
        <v/>
      </c>
      <c r="E16" s="20">
        <f>(A16+(Calculator!$D$11+Calculator!$D$12)+Calculator!$D$13)+C16</f>
        <v/>
      </c>
      <c r="F16" s="20">
        <f>MAX(0,E16-Config!$B$55-K16-Calculator!$D$15)</f>
        <v/>
      </c>
      <c r="G16" s="20">
        <f>SUMPRODUCT((M16&gt;Config!$G$13:$G$19)*(M16-Config!$G$13:$G$19)*Config!$F$13:$F$19)+0.15*Q16+0.2*(O16-Q16)</f>
        <v/>
      </c>
      <c r="H16" s="21">
        <f>(G16-G15)/5000</f>
        <v/>
      </c>
      <c r="I16" s="22">
        <f>LOOKUP(E16+Calculator!$D$14,Config!$H$22:$H$27,Config!$I$22:$I$27)</f>
        <v/>
      </c>
      <c r="J16" s="20">
        <f>(I16-Config!$I$22)*12*Config!$B$54</f>
        <v/>
      </c>
      <c r="K16">
        <f>MAX(0,MIN(Config!$F$6*Config!$B$54,Config!$F$6*Config!$B$54-Config!$F$8*MAX(0,(E16+Calculator!$D$14)-Config!$F$7)))</f>
        <v/>
      </c>
      <c r="L16">
        <f>MIN(Calculator!$D$13,F16)</f>
        <v/>
      </c>
      <c r="M16">
        <f>F16-L16</f>
        <v/>
      </c>
      <c r="N16">
        <f>MIN(L16,MAX(0,Config!$F$9-M16))</f>
        <v/>
      </c>
      <c r="O16">
        <f>L16-N16</f>
        <v/>
      </c>
      <c r="P16">
        <f>MAX(0,Config!$F$10-MAX(M16,Config!$F$9))</f>
        <v/>
      </c>
      <c r="Q16">
        <f>MIN(O16,P16)</f>
        <v/>
      </c>
    </row>
    <row r="17">
      <c r="A17" s="20">
        <f>A16+5000</f>
        <v/>
      </c>
      <c r="B17" s="20">
        <f>(A17+(Calculator!$D$11+Calculator!$D$12)+Calculator!$D$13+Calculator!$D$14+0.5*Config!$B$50)</f>
        <v/>
      </c>
      <c r="C17" s="20">
        <f>MIN(0.85*Config!$B$50,MIN(0.5*Config!$B$50,0.5*MIN(MAX(B17-Config!$F$2,0),Config!$F$3-Config!$F$2))+0.85*MAX(B17-Config!$F$3,0))</f>
        <v/>
      </c>
      <c r="D17" s="21">
        <f>IF(Config!$B$50=0,0,C17/Config!$B$50)</f>
        <v/>
      </c>
      <c r="E17" s="20">
        <f>(A17+(Calculator!$D$11+Calculator!$D$12)+Calculator!$D$13)+C17</f>
        <v/>
      </c>
      <c r="F17" s="20">
        <f>MAX(0,E17-Config!$B$55-K17-Calculator!$D$15)</f>
        <v/>
      </c>
      <c r="G17" s="20">
        <f>SUMPRODUCT((M17&gt;Config!$G$13:$G$19)*(M17-Config!$G$13:$G$19)*Config!$F$13:$F$19)+0.15*Q17+0.2*(O17-Q17)</f>
        <v/>
      </c>
      <c r="H17" s="21">
        <f>(G17-G16)/5000</f>
        <v/>
      </c>
      <c r="I17" s="22">
        <f>LOOKUP(E17+Calculator!$D$14,Config!$H$22:$H$27,Config!$I$22:$I$27)</f>
        <v/>
      </c>
      <c r="J17" s="20">
        <f>(I17-Config!$I$22)*12*Config!$B$54</f>
        <v/>
      </c>
      <c r="K17">
        <f>MAX(0,MIN(Config!$F$6*Config!$B$54,Config!$F$6*Config!$B$54-Config!$F$8*MAX(0,(E17+Calculator!$D$14)-Config!$F$7)))</f>
        <v/>
      </c>
      <c r="L17">
        <f>MIN(Calculator!$D$13,F17)</f>
        <v/>
      </c>
      <c r="M17">
        <f>F17-L17</f>
        <v/>
      </c>
      <c r="N17">
        <f>MIN(L17,MAX(0,Config!$F$9-M17))</f>
        <v/>
      </c>
      <c r="O17">
        <f>L17-N17</f>
        <v/>
      </c>
      <c r="P17">
        <f>MAX(0,Config!$F$10-MAX(M17,Config!$F$9))</f>
        <v/>
      </c>
      <c r="Q17">
        <f>MIN(O17,P17)</f>
        <v/>
      </c>
    </row>
    <row r="18">
      <c r="A18" s="20">
        <f>A17+5000</f>
        <v/>
      </c>
      <c r="B18" s="20">
        <f>(A18+(Calculator!$D$11+Calculator!$D$12)+Calculator!$D$13+Calculator!$D$14+0.5*Config!$B$50)</f>
        <v/>
      </c>
      <c r="C18" s="20">
        <f>MIN(0.85*Config!$B$50,MIN(0.5*Config!$B$50,0.5*MIN(MAX(B18-Config!$F$2,0),Config!$F$3-Config!$F$2))+0.85*MAX(B18-Config!$F$3,0))</f>
        <v/>
      </c>
      <c r="D18" s="21">
        <f>IF(Config!$B$50=0,0,C18/Config!$B$50)</f>
        <v/>
      </c>
      <c r="E18" s="20">
        <f>(A18+(Calculator!$D$11+Calculator!$D$12)+Calculator!$D$13)+C18</f>
        <v/>
      </c>
      <c r="F18" s="20">
        <f>MAX(0,E18-Config!$B$55-K18-Calculator!$D$15)</f>
        <v/>
      </c>
      <c r="G18" s="20">
        <f>SUMPRODUCT((M18&gt;Config!$G$13:$G$19)*(M18-Config!$G$13:$G$19)*Config!$F$13:$F$19)+0.15*Q18+0.2*(O18-Q18)</f>
        <v/>
      </c>
      <c r="H18" s="21">
        <f>(G18-G17)/5000</f>
        <v/>
      </c>
      <c r="I18" s="22">
        <f>LOOKUP(E18+Calculator!$D$14,Config!$H$22:$H$27,Config!$I$22:$I$27)</f>
        <v/>
      </c>
      <c r="J18" s="20">
        <f>(I18-Config!$I$22)*12*Config!$B$54</f>
        <v/>
      </c>
      <c r="K18">
        <f>MAX(0,MIN(Config!$F$6*Config!$B$54,Config!$F$6*Config!$B$54-Config!$F$8*MAX(0,(E18+Calculator!$D$14)-Config!$F$7)))</f>
        <v/>
      </c>
      <c r="L18">
        <f>MIN(Calculator!$D$13,F18)</f>
        <v/>
      </c>
      <c r="M18">
        <f>F18-L18</f>
        <v/>
      </c>
      <c r="N18">
        <f>MIN(L18,MAX(0,Config!$F$9-M18))</f>
        <v/>
      </c>
      <c r="O18">
        <f>L18-N18</f>
        <v/>
      </c>
      <c r="P18">
        <f>MAX(0,Config!$F$10-MAX(M18,Config!$F$9))</f>
        <v/>
      </c>
      <c r="Q18">
        <f>MIN(O18,P18)</f>
        <v/>
      </c>
    </row>
    <row r="19">
      <c r="A19" s="20">
        <f>A18+5000</f>
        <v/>
      </c>
      <c r="B19" s="20">
        <f>(A19+(Calculator!$D$11+Calculator!$D$12)+Calculator!$D$13+Calculator!$D$14+0.5*Config!$B$50)</f>
        <v/>
      </c>
      <c r="C19" s="20">
        <f>MIN(0.85*Config!$B$50,MIN(0.5*Config!$B$50,0.5*MIN(MAX(B19-Config!$F$2,0),Config!$F$3-Config!$F$2))+0.85*MAX(B19-Config!$F$3,0))</f>
        <v/>
      </c>
      <c r="D19" s="21">
        <f>IF(Config!$B$50=0,0,C19/Config!$B$50)</f>
        <v/>
      </c>
      <c r="E19" s="20">
        <f>(A19+(Calculator!$D$11+Calculator!$D$12)+Calculator!$D$13)+C19</f>
        <v/>
      </c>
      <c r="F19" s="20">
        <f>MAX(0,E19-Config!$B$55-K19-Calculator!$D$15)</f>
        <v/>
      </c>
      <c r="G19" s="20">
        <f>SUMPRODUCT((M19&gt;Config!$G$13:$G$19)*(M19-Config!$G$13:$G$19)*Config!$F$13:$F$19)+0.15*Q19+0.2*(O19-Q19)</f>
        <v/>
      </c>
      <c r="H19" s="21">
        <f>(G19-G18)/5000</f>
        <v/>
      </c>
      <c r="I19" s="22">
        <f>LOOKUP(E19+Calculator!$D$14,Config!$H$22:$H$27,Config!$I$22:$I$27)</f>
        <v/>
      </c>
      <c r="J19" s="20">
        <f>(I19-Config!$I$22)*12*Config!$B$54</f>
        <v/>
      </c>
      <c r="K19">
        <f>MAX(0,MIN(Config!$F$6*Config!$B$54,Config!$F$6*Config!$B$54-Config!$F$8*MAX(0,(E19+Calculator!$D$14)-Config!$F$7)))</f>
        <v/>
      </c>
      <c r="L19">
        <f>MIN(Calculator!$D$13,F19)</f>
        <v/>
      </c>
      <c r="M19">
        <f>F19-L19</f>
        <v/>
      </c>
      <c r="N19">
        <f>MIN(L19,MAX(0,Config!$F$9-M19))</f>
        <v/>
      </c>
      <c r="O19">
        <f>L19-N19</f>
        <v/>
      </c>
      <c r="P19">
        <f>MAX(0,Config!$F$10-MAX(M19,Config!$F$9))</f>
        <v/>
      </c>
      <c r="Q19">
        <f>MIN(O19,P19)</f>
        <v/>
      </c>
    </row>
    <row r="20">
      <c r="A20" s="20">
        <f>A19+5000</f>
        <v/>
      </c>
      <c r="B20" s="20">
        <f>(A20+(Calculator!$D$11+Calculator!$D$12)+Calculator!$D$13+Calculator!$D$14+0.5*Config!$B$50)</f>
        <v/>
      </c>
      <c r="C20" s="20">
        <f>MIN(0.85*Config!$B$50,MIN(0.5*Config!$B$50,0.5*MIN(MAX(B20-Config!$F$2,0),Config!$F$3-Config!$F$2))+0.85*MAX(B20-Config!$F$3,0))</f>
        <v/>
      </c>
      <c r="D20" s="21">
        <f>IF(Config!$B$50=0,0,C20/Config!$B$50)</f>
        <v/>
      </c>
      <c r="E20" s="20">
        <f>(A20+(Calculator!$D$11+Calculator!$D$12)+Calculator!$D$13)+C20</f>
        <v/>
      </c>
      <c r="F20" s="20">
        <f>MAX(0,E20-Config!$B$55-K20-Calculator!$D$15)</f>
        <v/>
      </c>
      <c r="G20" s="20">
        <f>SUMPRODUCT((M20&gt;Config!$G$13:$G$19)*(M20-Config!$G$13:$G$19)*Config!$F$13:$F$19)+0.15*Q20+0.2*(O20-Q20)</f>
        <v/>
      </c>
      <c r="H20" s="21">
        <f>(G20-G19)/5000</f>
        <v/>
      </c>
      <c r="I20" s="22">
        <f>LOOKUP(E20+Calculator!$D$14,Config!$H$22:$H$27,Config!$I$22:$I$27)</f>
        <v/>
      </c>
      <c r="J20" s="20">
        <f>(I20-Config!$I$22)*12*Config!$B$54</f>
        <v/>
      </c>
      <c r="K20">
        <f>MAX(0,MIN(Config!$F$6*Config!$B$54,Config!$F$6*Config!$B$54-Config!$F$8*MAX(0,(E20+Calculator!$D$14)-Config!$F$7)))</f>
        <v/>
      </c>
      <c r="L20">
        <f>MIN(Calculator!$D$13,F20)</f>
        <v/>
      </c>
      <c r="M20">
        <f>F20-L20</f>
        <v/>
      </c>
      <c r="N20">
        <f>MIN(L20,MAX(0,Config!$F$9-M20))</f>
        <v/>
      </c>
      <c r="O20">
        <f>L20-N20</f>
        <v/>
      </c>
      <c r="P20">
        <f>MAX(0,Config!$F$10-MAX(M20,Config!$F$9))</f>
        <v/>
      </c>
      <c r="Q20">
        <f>MIN(O20,P20)</f>
        <v/>
      </c>
    </row>
    <row r="21">
      <c r="A21" s="20">
        <f>A20+5000</f>
        <v/>
      </c>
      <c r="B21" s="20">
        <f>(A21+(Calculator!$D$11+Calculator!$D$12)+Calculator!$D$13+Calculator!$D$14+0.5*Config!$B$50)</f>
        <v/>
      </c>
      <c r="C21" s="20">
        <f>MIN(0.85*Config!$B$50,MIN(0.5*Config!$B$50,0.5*MIN(MAX(B21-Config!$F$2,0),Config!$F$3-Config!$F$2))+0.85*MAX(B21-Config!$F$3,0))</f>
        <v/>
      </c>
      <c r="D21" s="21">
        <f>IF(Config!$B$50=0,0,C21/Config!$B$50)</f>
        <v/>
      </c>
      <c r="E21" s="20">
        <f>(A21+(Calculator!$D$11+Calculator!$D$12)+Calculator!$D$13)+C21</f>
        <v/>
      </c>
      <c r="F21" s="20">
        <f>MAX(0,E21-Config!$B$55-K21-Calculator!$D$15)</f>
        <v/>
      </c>
      <c r="G21" s="20">
        <f>SUMPRODUCT((M21&gt;Config!$G$13:$G$19)*(M21-Config!$G$13:$G$19)*Config!$F$13:$F$19)+0.15*Q21+0.2*(O21-Q21)</f>
        <v/>
      </c>
      <c r="H21" s="21">
        <f>(G21-G20)/5000</f>
        <v/>
      </c>
      <c r="I21" s="22">
        <f>LOOKUP(E21+Calculator!$D$14,Config!$H$22:$H$27,Config!$I$22:$I$27)</f>
        <v/>
      </c>
      <c r="J21" s="20">
        <f>(I21-Config!$I$22)*12*Config!$B$54</f>
        <v/>
      </c>
      <c r="K21">
        <f>MAX(0,MIN(Config!$F$6*Config!$B$54,Config!$F$6*Config!$B$54-Config!$F$8*MAX(0,(E21+Calculator!$D$14)-Config!$F$7)))</f>
        <v/>
      </c>
      <c r="L21">
        <f>MIN(Calculator!$D$13,F21)</f>
        <v/>
      </c>
      <c r="M21">
        <f>F21-L21</f>
        <v/>
      </c>
      <c r="N21">
        <f>MIN(L21,MAX(0,Config!$F$9-M21))</f>
        <v/>
      </c>
      <c r="O21">
        <f>L21-N21</f>
        <v/>
      </c>
      <c r="P21">
        <f>MAX(0,Config!$F$10-MAX(M21,Config!$F$9))</f>
        <v/>
      </c>
      <c r="Q21">
        <f>MIN(O21,P21)</f>
        <v/>
      </c>
    </row>
    <row r="22">
      <c r="A22" s="20">
        <f>A21+5000</f>
        <v/>
      </c>
      <c r="B22" s="20">
        <f>(A22+(Calculator!$D$11+Calculator!$D$12)+Calculator!$D$13+Calculator!$D$14+0.5*Config!$B$50)</f>
        <v/>
      </c>
      <c r="C22" s="20">
        <f>MIN(0.85*Config!$B$50,MIN(0.5*Config!$B$50,0.5*MIN(MAX(B22-Config!$F$2,0),Config!$F$3-Config!$F$2))+0.85*MAX(B22-Config!$F$3,0))</f>
        <v/>
      </c>
      <c r="D22" s="21">
        <f>IF(Config!$B$50=0,0,C22/Config!$B$50)</f>
        <v/>
      </c>
      <c r="E22" s="20">
        <f>(A22+(Calculator!$D$11+Calculator!$D$12)+Calculator!$D$13)+C22</f>
        <v/>
      </c>
      <c r="F22" s="20">
        <f>MAX(0,E22-Config!$B$55-K22-Calculator!$D$15)</f>
        <v/>
      </c>
      <c r="G22" s="20">
        <f>SUMPRODUCT((M22&gt;Config!$G$13:$G$19)*(M22-Config!$G$13:$G$19)*Config!$F$13:$F$19)+0.15*Q22+0.2*(O22-Q22)</f>
        <v/>
      </c>
      <c r="H22" s="21">
        <f>(G22-G21)/5000</f>
        <v/>
      </c>
      <c r="I22" s="22">
        <f>LOOKUP(E22+Calculator!$D$14,Config!$H$22:$H$27,Config!$I$22:$I$27)</f>
        <v/>
      </c>
      <c r="J22" s="20">
        <f>(I22-Config!$I$22)*12*Config!$B$54</f>
        <v/>
      </c>
      <c r="K22">
        <f>MAX(0,MIN(Config!$F$6*Config!$B$54,Config!$F$6*Config!$B$54-Config!$F$8*MAX(0,(E22+Calculator!$D$14)-Config!$F$7)))</f>
        <v/>
      </c>
      <c r="L22">
        <f>MIN(Calculator!$D$13,F22)</f>
        <v/>
      </c>
      <c r="M22">
        <f>F22-L22</f>
        <v/>
      </c>
      <c r="N22">
        <f>MIN(L22,MAX(0,Config!$F$9-M22))</f>
        <v/>
      </c>
      <c r="O22">
        <f>L22-N22</f>
        <v/>
      </c>
      <c r="P22">
        <f>MAX(0,Config!$F$10-MAX(M22,Config!$F$9))</f>
        <v/>
      </c>
      <c r="Q22">
        <f>MIN(O22,P22)</f>
        <v/>
      </c>
    </row>
    <row r="23">
      <c r="A23" s="20">
        <f>A22+5000</f>
        <v/>
      </c>
      <c r="B23" s="20">
        <f>(A23+(Calculator!$D$11+Calculator!$D$12)+Calculator!$D$13+Calculator!$D$14+0.5*Config!$B$50)</f>
        <v/>
      </c>
      <c r="C23" s="20">
        <f>MIN(0.85*Config!$B$50,MIN(0.5*Config!$B$50,0.5*MIN(MAX(B23-Config!$F$2,0),Config!$F$3-Config!$F$2))+0.85*MAX(B23-Config!$F$3,0))</f>
        <v/>
      </c>
      <c r="D23" s="21">
        <f>IF(Config!$B$50=0,0,C23/Config!$B$50)</f>
        <v/>
      </c>
      <c r="E23" s="20">
        <f>(A23+(Calculator!$D$11+Calculator!$D$12)+Calculator!$D$13)+C23</f>
        <v/>
      </c>
      <c r="F23" s="20">
        <f>MAX(0,E23-Config!$B$55-K23-Calculator!$D$15)</f>
        <v/>
      </c>
      <c r="G23" s="20">
        <f>SUMPRODUCT((M23&gt;Config!$G$13:$G$19)*(M23-Config!$G$13:$G$19)*Config!$F$13:$F$19)+0.15*Q23+0.2*(O23-Q23)</f>
        <v/>
      </c>
      <c r="H23" s="21">
        <f>(G23-G22)/5000</f>
        <v/>
      </c>
      <c r="I23" s="22">
        <f>LOOKUP(E23+Calculator!$D$14,Config!$H$22:$H$27,Config!$I$22:$I$27)</f>
        <v/>
      </c>
      <c r="J23" s="20">
        <f>(I23-Config!$I$22)*12*Config!$B$54</f>
        <v/>
      </c>
      <c r="K23">
        <f>MAX(0,MIN(Config!$F$6*Config!$B$54,Config!$F$6*Config!$B$54-Config!$F$8*MAX(0,(E23+Calculator!$D$14)-Config!$F$7)))</f>
        <v/>
      </c>
      <c r="L23">
        <f>MIN(Calculator!$D$13,F23)</f>
        <v/>
      </c>
      <c r="M23">
        <f>F23-L23</f>
        <v/>
      </c>
      <c r="N23">
        <f>MIN(L23,MAX(0,Config!$F$9-M23))</f>
        <v/>
      </c>
      <c r="O23">
        <f>L23-N23</f>
        <v/>
      </c>
      <c r="P23">
        <f>MAX(0,Config!$F$10-MAX(M23,Config!$F$9))</f>
        <v/>
      </c>
      <c r="Q23">
        <f>MIN(O23,P23)</f>
        <v/>
      </c>
    </row>
    <row r="24">
      <c r="A24" s="20">
        <f>A23+5000</f>
        <v/>
      </c>
      <c r="B24" s="20">
        <f>(A24+(Calculator!$D$11+Calculator!$D$12)+Calculator!$D$13+Calculator!$D$14+0.5*Config!$B$50)</f>
        <v/>
      </c>
      <c r="C24" s="20">
        <f>MIN(0.85*Config!$B$50,MIN(0.5*Config!$B$50,0.5*MIN(MAX(B24-Config!$F$2,0),Config!$F$3-Config!$F$2))+0.85*MAX(B24-Config!$F$3,0))</f>
        <v/>
      </c>
      <c r="D24" s="21">
        <f>IF(Config!$B$50=0,0,C24/Config!$B$50)</f>
        <v/>
      </c>
      <c r="E24" s="20">
        <f>(A24+(Calculator!$D$11+Calculator!$D$12)+Calculator!$D$13)+C24</f>
        <v/>
      </c>
      <c r="F24" s="20">
        <f>MAX(0,E24-Config!$B$55-K24-Calculator!$D$15)</f>
        <v/>
      </c>
      <c r="G24" s="20">
        <f>SUMPRODUCT((M24&gt;Config!$G$13:$G$19)*(M24-Config!$G$13:$G$19)*Config!$F$13:$F$19)+0.15*Q24+0.2*(O24-Q24)</f>
        <v/>
      </c>
      <c r="H24" s="21">
        <f>(G24-G23)/5000</f>
        <v/>
      </c>
      <c r="I24" s="22">
        <f>LOOKUP(E24+Calculator!$D$14,Config!$H$22:$H$27,Config!$I$22:$I$27)</f>
        <v/>
      </c>
      <c r="J24" s="20">
        <f>(I24-Config!$I$22)*12*Config!$B$54</f>
        <v/>
      </c>
      <c r="K24">
        <f>MAX(0,MIN(Config!$F$6*Config!$B$54,Config!$F$6*Config!$B$54-Config!$F$8*MAX(0,(E24+Calculator!$D$14)-Config!$F$7)))</f>
        <v/>
      </c>
      <c r="L24">
        <f>MIN(Calculator!$D$13,F24)</f>
        <v/>
      </c>
      <c r="M24">
        <f>F24-L24</f>
        <v/>
      </c>
      <c r="N24">
        <f>MIN(L24,MAX(0,Config!$F$9-M24))</f>
        <v/>
      </c>
      <c r="O24">
        <f>L24-N24</f>
        <v/>
      </c>
      <c r="P24">
        <f>MAX(0,Config!$F$10-MAX(M24,Config!$F$9))</f>
        <v/>
      </c>
      <c r="Q24">
        <f>MIN(O24,P24)</f>
        <v/>
      </c>
    </row>
    <row r="25">
      <c r="A25" s="20">
        <f>A24+5000</f>
        <v/>
      </c>
      <c r="B25" s="20">
        <f>(A25+(Calculator!$D$11+Calculator!$D$12)+Calculator!$D$13+Calculator!$D$14+0.5*Config!$B$50)</f>
        <v/>
      </c>
      <c r="C25" s="20">
        <f>MIN(0.85*Config!$B$50,MIN(0.5*Config!$B$50,0.5*MIN(MAX(B25-Config!$F$2,0),Config!$F$3-Config!$F$2))+0.85*MAX(B25-Config!$F$3,0))</f>
        <v/>
      </c>
      <c r="D25" s="21">
        <f>IF(Config!$B$50=0,0,C25/Config!$B$50)</f>
        <v/>
      </c>
      <c r="E25" s="20">
        <f>(A25+(Calculator!$D$11+Calculator!$D$12)+Calculator!$D$13)+C25</f>
        <v/>
      </c>
      <c r="F25" s="20">
        <f>MAX(0,E25-Config!$B$55-K25-Calculator!$D$15)</f>
        <v/>
      </c>
      <c r="G25" s="20">
        <f>SUMPRODUCT((M25&gt;Config!$G$13:$G$19)*(M25-Config!$G$13:$G$19)*Config!$F$13:$F$19)+0.15*Q25+0.2*(O25-Q25)</f>
        <v/>
      </c>
      <c r="H25" s="21">
        <f>(G25-G24)/5000</f>
        <v/>
      </c>
      <c r="I25" s="22">
        <f>LOOKUP(E25+Calculator!$D$14,Config!$H$22:$H$27,Config!$I$22:$I$27)</f>
        <v/>
      </c>
      <c r="J25" s="20">
        <f>(I25-Config!$I$22)*12*Config!$B$54</f>
        <v/>
      </c>
      <c r="K25">
        <f>MAX(0,MIN(Config!$F$6*Config!$B$54,Config!$F$6*Config!$B$54-Config!$F$8*MAX(0,(E25+Calculator!$D$14)-Config!$F$7)))</f>
        <v/>
      </c>
      <c r="L25">
        <f>MIN(Calculator!$D$13,F25)</f>
        <v/>
      </c>
      <c r="M25">
        <f>F25-L25</f>
        <v/>
      </c>
      <c r="N25">
        <f>MIN(L25,MAX(0,Config!$F$9-M25))</f>
        <v/>
      </c>
      <c r="O25">
        <f>L25-N25</f>
        <v/>
      </c>
      <c r="P25">
        <f>MAX(0,Config!$F$10-MAX(M25,Config!$F$9))</f>
        <v/>
      </c>
      <c r="Q25">
        <f>MIN(O25,P25)</f>
        <v/>
      </c>
    </row>
    <row r="26">
      <c r="A26" s="20">
        <f>A25+5000</f>
        <v/>
      </c>
      <c r="B26" s="20">
        <f>(A26+(Calculator!$D$11+Calculator!$D$12)+Calculator!$D$13+Calculator!$D$14+0.5*Config!$B$50)</f>
        <v/>
      </c>
      <c r="C26" s="20">
        <f>MIN(0.85*Config!$B$50,MIN(0.5*Config!$B$50,0.5*MIN(MAX(B26-Config!$F$2,0),Config!$F$3-Config!$F$2))+0.85*MAX(B26-Config!$F$3,0))</f>
        <v/>
      </c>
      <c r="D26" s="21">
        <f>IF(Config!$B$50=0,0,C26/Config!$B$50)</f>
        <v/>
      </c>
      <c r="E26" s="20">
        <f>(A26+(Calculator!$D$11+Calculator!$D$12)+Calculator!$D$13)+C26</f>
        <v/>
      </c>
      <c r="F26" s="20">
        <f>MAX(0,E26-Config!$B$55-K26-Calculator!$D$15)</f>
        <v/>
      </c>
      <c r="G26" s="20">
        <f>SUMPRODUCT((M26&gt;Config!$G$13:$G$19)*(M26-Config!$G$13:$G$19)*Config!$F$13:$F$19)+0.15*Q26+0.2*(O26-Q26)</f>
        <v/>
      </c>
      <c r="H26" s="21">
        <f>(G26-G25)/5000</f>
        <v/>
      </c>
      <c r="I26" s="22">
        <f>LOOKUP(E26+Calculator!$D$14,Config!$H$22:$H$27,Config!$I$22:$I$27)</f>
        <v/>
      </c>
      <c r="J26" s="20">
        <f>(I26-Config!$I$22)*12*Config!$B$54</f>
        <v/>
      </c>
      <c r="K26">
        <f>MAX(0,MIN(Config!$F$6*Config!$B$54,Config!$F$6*Config!$B$54-Config!$F$8*MAX(0,(E26+Calculator!$D$14)-Config!$F$7)))</f>
        <v/>
      </c>
      <c r="L26">
        <f>MIN(Calculator!$D$13,F26)</f>
        <v/>
      </c>
      <c r="M26">
        <f>F26-L26</f>
        <v/>
      </c>
      <c r="N26">
        <f>MIN(L26,MAX(0,Config!$F$9-M26))</f>
        <v/>
      </c>
      <c r="O26">
        <f>L26-N26</f>
        <v/>
      </c>
      <c r="P26">
        <f>MAX(0,Config!$F$10-MAX(M26,Config!$F$9))</f>
        <v/>
      </c>
      <c r="Q26">
        <f>MIN(O26,P26)</f>
        <v/>
      </c>
    </row>
    <row r="27">
      <c r="A27" s="20">
        <f>A26+5000</f>
        <v/>
      </c>
      <c r="B27" s="20">
        <f>(A27+(Calculator!$D$11+Calculator!$D$12)+Calculator!$D$13+Calculator!$D$14+0.5*Config!$B$50)</f>
        <v/>
      </c>
      <c r="C27" s="20">
        <f>MIN(0.85*Config!$B$50,MIN(0.5*Config!$B$50,0.5*MIN(MAX(B27-Config!$F$2,0),Config!$F$3-Config!$F$2))+0.85*MAX(B27-Config!$F$3,0))</f>
        <v/>
      </c>
      <c r="D27" s="21">
        <f>IF(Config!$B$50=0,0,C27/Config!$B$50)</f>
        <v/>
      </c>
      <c r="E27" s="20">
        <f>(A27+(Calculator!$D$11+Calculator!$D$12)+Calculator!$D$13)+C27</f>
        <v/>
      </c>
      <c r="F27" s="20">
        <f>MAX(0,E27-Config!$B$55-K27-Calculator!$D$15)</f>
        <v/>
      </c>
      <c r="G27" s="20">
        <f>SUMPRODUCT((M27&gt;Config!$G$13:$G$19)*(M27-Config!$G$13:$G$19)*Config!$F$13:$F$19)+0.15*Q27+0.2*(O27-Q27)</f>
        <v/>
      </c>
      <c r="H27" s="21">
        <f>(G27-G26)/5000</f>
        <v/>
      </c>
      <c r="I27" s="22">
        <f>LOOKUP(E27+Calculator!$D$14,Config!$H$22:$H$27,Config!$I$22:$I$27)</f>
        <v/>
      </c>
      <c r="J27" s="20">
        <f>(I27-Config!$I$22)*12*Config!$B$54</f>
        <v/>
      </c>
      <c r="K27">
        <f>MAX(0,MIN(Config!$F$6*Config!$B$54,Config!$F$6*Config!$B$54-Config!$F$8*MAX(0,(E27+Calculator!$D$14)-Config!$F$7)))</f>
        <v/>
      </c>
      <c r="L27">
        <f>MIN(Calculator!$D$13,F27)</f>
        <v/>
      </c>
      <c r="M27">
        <f>F27-L27</f>
        <v/>
      </c>
      <c r="N27">
        <f>MIN(L27,MAX(0,Config!$F$9-M27))</f>
        <v/>
      </c>
      <c r="O27">
        <f>L27-N27</f>
        <v/>
      </c>
      <c r="P27">
        <f>MAX(0,Config!$F$10-MAX(M27,Config!$F$9))</f>
        <v/>
      </c>
      <c r="Q27">
        <f>MIN(O27,P27)</f>
        <v/>
      </c>
    </row>
    <row r="28">
      <c r="A28" s="20">
        <f>A27+5000</f>
        <v/>
      </c>
      <c r="B28" s="20">
        <f>(A28+(Calculator!$D$11+Calculator!$D$12)+Calculator!$D$13+Calculator!$D$14+0.5*Config!$B$50)</f>
        <v/>
      </c>
      <c r="C28" s="20">
        <f>MIN(0.85*Config!$B$50,MIN(0.5*Config!$B$50,0.5*MIN(MAX(B28-Config!$F$2,0),Config!$F$3-Config!$F$2))+0.85*MAX(B28-Config!$F$3,0))</f>
        <v/>
      </c>
      <c r="D28" s="21">
        <f>IF(Config!$B$50=0,0,C28/Config!$B$50)</f>
        <v/>
      </c>
      <c r="E28" s="20">
        <f>(A28+(Calculator!$D$11+Calculator!$D$12)+Calculator!$D$13)+C28</f>
        <v/>
      </c>
      <c r="F28" s="20">
        <f>MAX(0,E28-Config!$B$55-K28-Calculator!$D$15)</f>
        <v/>
      </c>
      <c r="G28" s="20">
        <f>SUMPRODUCT((M28&gt;Config!$G$13:$G$19)*(M28-Config!$G$13:$G$19)*Config!$F$13:$F$19)+0.15*Q28+0.2*(O28-Q28)</f>
        <v/>
      </c>
      <c r="H28" s="21">
        <f>(G28-G27)/5000</f>
        <v/>
      </c>
      <c r="I28" s="22">
        <f>LOOKUP(E28+Calculator!$D$14,Config!$H$22:$H$27,Config!$I$22:$I$27)</f>
        <v/>
      </c>
      <c r="J28" s="20">
        <f>(I28-Config!$I$22)*12*Config!$B$54</f>
        <v/>
      </c>
      <c r="K28">
        <f>MAX(0,MIN(Config!$F$6*Config!$B$54,Config!$F$6*Config!$B$54-Config!$F$8*MAX(0,(E28+Calculator!$D$14)-Config!$F$7)))</f>
        <v/>
      </c>
      <c r="L28">
        <f>MIN(Calculator!$D$13,F28)</f>
        <v/>
      </c>
      <c r="M28">
        <f>F28-L28</f>
        <v/>
      </c>
      <c r="N28">
        <f>MIN(L28,MAX(0,Config!$F$9-M28))</f>
        <v/>
      </c>
      <c r="O28">
        <f>L28-N28</f>
        <v/>
      </c>
      <c r="P28">
        <f>MAX(0,Config!$F$10-MAX(M28,Config!$F$9))</f>
        <v/>
      </c>
      <c r="Q28">
        <f>MIN(O28,P28)</f>
        <v/>
      </c>
    </row>
    <row r="29">
      <c r="A29" s="20">
        <f>A28+5000</f>
        <v/>
      </c>
      <c r="B29" s="20">
        <f>(A29+(Calculator!$D$11+Calculator!$D$12)+Calculator!$D$13+Calculator!$D$14+0.5*Config!$B$50)</f>
        <v/>
      </c>
      <c r="C29" s="20">
        <f>MIN(0.85*Config!$B$50,MIN(0.5*Config!$B$50,0.5*MIN(MAX(B29-Config!$F$2,0),Config!$F$3-Config!$F$2))+0.85*MAX(B29-Config!$F$3,0))</f>
        <v/>
      </c>
      <c r="D29" s="21">
        <f>IF(Config!$B$50=0,0,C29/Config!$B$50)</f>
        <v/>
      </c>
      <c r="E29" s="20">
        <f>(A29+(Calculator!$D$11+Calculator!$D$12)+Calculator!$D$13)+C29</f>
        <v/>
      </c>
      <c r="F29" s="20">
        <f>MAX(0,E29-Config!$B$55-K29-Calculator!$D$15)</f>
        <v/>
      </c>
      <c r="G29" s="20">
        <f>SUMPRODUCT((M29&gt;Config!$G$13:$G$19)*(M29-Config!$G$13:$G$19)*Config!$F$13:$F$19)+0.15*Q29+0.2*(O29-Q29)</f>
        <v/>
      </c>
      <c r="H29" s="21">
        <f>(G29-G28)/5000</f>
        <v/>
      </c>
      <c r="I29" s="22">
        <f>LOOKUP(E29+Calculator!$D$14,Config!$H$22:$H$27,Config!$I$22:$I$27)</f>
        <v/>
      </c>
      <c r="J29" s="20">
        <f>(I29-Config!$I$22)*12*Config!$B$54</f>
        <v/>
      </c>
      <c r="K29">
        <f>MAX(0,MIN(Config!$F$6*Config!$B$54,Config!$F$6*Config!$B$54-Config!$F$8*MAX(0,(E29+Calculator!$D$14)-Config!$F$7)))</f>
        <v/>
      </c>
      <c r="L29">
        <f>MIN(Calculator!$D$13,F29)</f>
        <v/>
      </c>
      <c r="M29">
        <f>F29-L29</f>
        <v/>
      </c>
      <c r="N29">
        <f>MIN(L29,MAX(0,Config!$F$9-M29))</f>
        <v/>
      </c>
      <c r="O29">
        <f>L29-N29</f>
        <v/>
      </c>
      <c r="P29">
        <f>MAX(0,Config!$F$10-MAX(M29,Config!$F$9))</f>
        <v/>
      </c>
      <c r="Q29">
        <f>MIN(O29,P29)</f>
        <v/>
      </c>
    </row>
    <row r="30">
      <c r="A30" s="20">
        <f>A29+5000</f>
        <v/>
      </c>
      <c r="B30" s="20">
        <f>(A30+(Calculator!$D$11+Calculator!$D$12)+Calculator!$D$13+Calculator!$D$14+0.5*Config!$B$50)</f>
        <v/>
      </c>
      <c r="C30" s="20">
        <f>MIN(0.85*Config!$B$50,MIN(0.5*Config!$B$50,0.5*MIN(MAX(B30-Config!$F$2,0),Config!$F$3-Config!$F$2))+0.85*MAX(B30-Config!$F$3,0))</f>
        <v/>
      </c>
      <c r="D30" s="21">
        <f>IF(Config!$B$50=0,0,C30/Config!$B$50)</f>
        <v/>
      </c>
      <c r="E30" s="20">
        <f>(A30+(Calculator!$D$11+Calculator!$D$12)+Calculator!$D$13)+C30</f>
        <v/>
      </c>
      <c r="F30" s="20">
        <f>MAX(0,E30-Config!$B$55-K30-Calculator!$D$15)</f>
        <v/>
      </c>
      <c r="G30" s="20">
        <f>SUMPRODUCT((M30&gt;Config!$G$13:$G$19)*(M30-Config!$G$13:$G$19)*Config!$F$13:$F$19)+0.15*Q30+0.2*(O30-Q30)</f>
        <v/>
      </c>
      <c r="H30" s="21">
        <f>(G30-G29)/5000</f>
        <v/>
      </c>
      <c r="I30" s="22">
        <f>LOOKUP(E30+Calculator!$D$14,Config!$H$22:$H$27,Config!$I$22:$I$27)</f>
        <v/>
      </c>
      <c r="J30" s="20">
        <f>(I30-Config!$I$22)*12*Config!$B$54</f>
        <v/>
      </c>
      <c r="K30">
        <f>MAX(0,MIN(Config!$F$6*Config!$B$54,Config!$F$6*Config!$B$54-Config!$F$8*MAX(0,(E30+Calculator!$D$14)-Config!$F$7)))</f>
        <v/>
      </c>
      <c r="L30">
        <f>MIN(Calculator!$D$13,F30)</f>
        <v/>
      </c>
      <c r="M30">
        <f>F30-L30</f>
        <v/>
      </c>
      <c r="N30">
        <f>MIN(L30,MAX(0,Config!$F$9-M30))</f>
        <v/>
      </c>
      <c r="O30">
        <f>L30-N30</f>
        <v/>
      </c>
      <c r="P30">
        <f>MAX(0,Config!$F$10-MAX(M30,Config!$F$9))</f>
        <v/>
      </c>
      <c r="Q30">
        <f>MIN(O30,P30)</f>
        <v/>
      </c>
    </row>
    <row r="31">
      <c r="A31" s="20">
        <f>A30+5000</f>
        <v/>
      </c>
      <c r="B31" s="20">
        <f>(A31+(Calculator!$D$11+Calculator!$D$12)+Calculator!$D$13+Calculator!$D$14+0.5*Config!$B$50)</f>
        <v/>
      </c>
      <c r="C31" s="20">
        <f>MIN(0.85*Config!$B$50,MIN(0.5*Config!$B$50,0.5*MIN(MAX(B31-Config!$F$2,0),Config!$F$3-Config!$F$2))+0.85*MAX(B31-Config!$F$3,0))</f>
        <v/>
      </c>
      <c r="D31" s="21">
        <f>IF(Config!$B$50=0,0,C31/Config!$B$50)</f>
        <v/>
      </c>
      <c r="E31" s="20">
        <f>(A31+(Calculator!$D$11+Calculator!$D$12)+Calculator!$D$13)+C31</f>
        <v/>
      </c>
      <c r="F31" s="20">
        <f>MAX(0,E31-Config!$B$55-K31-Calculator!$D$15)</f>
        <v/>
      </c>
      <c r="G31" s="20">
        <f>SUMPRODUCT((M31&gt;Config!$G$13:$G$19)*(M31-Config!$G$13:$G$19)*Config!$F$13:$F$19)+0.15*Q31+0.2*(O31-Q31)</f>
        <v/>
      </c>
      <c r="H31" s="21">
        <f>(G31-G30)/5000</f>
        <v/>
      </c>
      <c r="I31" s="22">
        <f>LOOKUP(E31+Calculator!$D$14,Config!$H$22:$H$27,Config!$I$22:$I$27)</f>
        <v/>
      </c>
      <c r="J31" s="20">
        <f>(I31-Config!$I$22)*12*Config!$B$54</f>
        <v/>
      </c>
      <c r="K31">
        <f>MAX(0,MIN(Config!$F$6*Config!$B$54,Config!$F$6*Config!$B$54-Config!$F$8*MAX(0,(E31+Calculator!$D$14)-Config!$F$7)))</f>
        <v/>
      </c>
      <c r="L31">
        <f>MIN(Calculator!$D$13,F31)</f>
        <v/>
      </c>
      <c r="M31">
        <f>F31-L31</f>
        <v/>
      </c>
      <c r="N31">
        <f>MIN(L31,MAX(0,Config!$F$9-M31))</f>
        <v/>
      </c>
      <c r="O31">
        <f>L31-N31</f>
        <v/>
      </c>
      <c r="P31">
        <f>MAX(0,Config!$F$10-MAX(M31,Config!$F$9))</f>
        <v/>
      </c>
      <c r="Q31">
        <f>MIN(O31,P31)</f>
        <v/>
      </c>
    </row>
    <row r="32">
      <c r="A32" s="20">
        <f>A31+5000</f>
        <v/>
      </c>
      <c r="B32" s="20">
        <f>(A32+(Calculator!$D$11+Calculator!$D$12)+Calculator!$D$13+Calculator!$D$14+0.5*Config!$B$50)</f>
        <v/>
      </c>
      <c r="C32" s="20">
        <f>MIN(0.85*Config!$B$50,MIN(0.5*Config!$B$50,0.5*MIN(MAX(B32-Config!$F$2,0),Config!$F$3-Config!$F$2))+0.85*MAX(B32-Config!$F$3,0))</f>
        <v/>
      </c>
      <c r="D32" s="21">
        <f>IF(Config!$B$50=0,0,C32/Config!$B$50)</f>
        <v/>
      </c>
      <c r="E32" s="20">
        <f>(A32+(Calculator!$D$11+Calculator!$D$12)+Calculator!$D$13)+C32</f>
        <v/>
      </c>
      <c r="F32" s="20">
        <f>MAX(0,E32-Config!$B$55-K32-Calculator!$D$15)</f>
        <v/>
      </c>
      <c r="G32" s="20">
        <f>SUMPRODUCT((M32&gt;Config!$G$13:$G$19)*(M32-Config!$G$13:$G$19)*Config!$F$13:$F$19)+0.15*Q32+0.2*(O32-Q32)</f>
        <v/>
      </c>
      <c r="H32" s="21">
        <f>(G32-G31)/5000</f>
        <v/>
      </c>
      <c r="I32" s="22">
        <f>LOOKUP(E32+Calculator!$D$14,Config!$H$22:$H$27,Config!$I$22:$I$27)</f>
        <v/>
      </c>
      <c r="J32" s="20">
        <f>(I32-Config!$I$22)*12*Config!$B$54</f>
        <v/>
      </c>
      <c r="K32">
        <f>MAX(0,MIN(Config!$F$6*Config!$B$54,Config!$F$6*Config!$B$54-Config!$F$8*MAX(0,(E32+Calculator!$D$14)-Config!$F$7)))</f>
        <v/>
      </c>
      <c r="L32">
        <f>MIN(Calculator!$D$13,F32)</f>
        <v/>
      </c>
      <c r="M32">
        <f>F32-L32</f>
        <v/>
      </c>
      <c r="N32">
        <f>MIN(L32,MAX(0,Config!$F$9-M32))</f>
        <v/>
      </c>
      <c r="O32">
        <f>L32-N32</f>
        <v/>
      </c>
      <c r="P32">
        <f>MAX(0,Config!$F$10-MAX(M32,Config!$F$9))</f>
        <v/>
      </c>
      <c r="Q32">
        <f>MIN(O32,P32)</f>
        <v/>
      </c>
    </row>
    <row r="33">
      <c r="A33" s="20">
        <f>A32+5000</f>
        <v/>
      </c>
      <c r="B33" s="20">
        <f>(A33+(Calculator!$D$11+Calculator!$D$12)+Calculator!$D$13+Calculator!$D$14+0.5*Config!$B$50)</f>
        <v/>
      </c>
      <c r="C33" s="20">
        <f>MIN(0.85*Config!$B$50,MIN(0.5*Config!$B$50,0.5*MIN(MAX(B33-Config!$F$2,0),Config!$F$3-Config!$F$2))+0.85*MAX(B33-Config!$F$3,0))</f>
        <v/>
      </c>
      <c r="D33" s="21">
        <f>IF(Config!$B$50=0,0,C33/Config!$B$50)</f>
        <v/>
      </c>
      <c r="E33" s="20">
        <f>(A33+(Calculator!$D$11+Calculator!$D$12)+Calculator!$D$13)+C33</f>
        <v/>
      </c>
      <c r="F33" s="20">
        <f>MAX(0,E33-Config!$B$55-K33-Calculator!$D$15)</f>
        <v/>
      </c>
      <c r="G33" s="20">
        <f>SUMPRODUCT((M33&gt;Config!$G$13:$G$19)*(M33-Config!$G$13:$G$19)*Config!$F$13:$F$19)+0.15*Q33+0.2*(O33-Q33)</f>
        <v/>
      </c>
      <c r="H33" s="21">
        <f>(G33-G32)/5000</f>
        <v/>
      </c>
      <c r="I33" s="22">
        <f>LOOKUP(E33+Calculator!$D$14,Config!$H$22:$H$27,Config!$I$22:$I$27)</f>
        <v/>
      </c>
      <c r="J33" s="20">
        <f>(I33-Config!$I$22)*12*Config!$B$54</f>
        <v/>
      </c>
      <c r="K33">
        <f>MAX(0,MIN(Config!$F$6*Config!$B$54,Config!$F$6*Config!$B$54-Config!$F$8*MAX(0,(E33+Calculator!$D$14)-Config!$F$7)))</f>
        <v/>
      </c>
      <c r="L33">
        <f>MIN(Calculator!$D$13,F33)</f>
        <v/>
      </c>
      <c r="M33">
        <f>F33-L33</f>
        <v/>
      </c>
      <c r="N33">
        <f>MIN(L33,MAX(0,Config!$F$9-M33))</f>
        <v/>
      </c>
      <c r="O33">
        <f>L33-N33</f>
        <v/>
      </c>
      <c r="P33">
        <f>MAX(0,Config!$F$10-MAX(M33,Config!$F$9))</f>
        <v/>
      </c>
      <c r="Q33">
        <f>MIN(O33,P33)</f>
        <v/>
      </c>
    </row>
    <row r="34">
      <c r="A34" s="20">
        <f>A33+5000</f>
        <v/>
      </c>
      <c r="B34" s="20">
        <f>(A34+(Calculator!$D$11+Calculator!$D$12)+Calculator!$D$13+Calculator!$D$14+0.5*Config!$B$50)</f>
        <v/>
      </c>
      <c r="C34" s="20">
        <f>MIN(0.85*Config!$B$50,MIN(0.5*Config!$B$50,0.5*MIN(MAX(B34-Config!$F$2,0),Config!$F$3-Config!$F$2))+0.85*MAX(B34-Config!$F$3,0))</f>
        <v/>
      </c>
      <c r="D34" s="21">
        <f>IF(Config!$B$50=0,0,C34/Config!$B$50)</f>
        <v/>
      </c>
      <c r="E34" s="20">
        <f>(A34+(Calculator!$D$11+Calculator!$D$12)+Calculator!$D$13)+C34</f>
        <v/>
      </c>
      <c r="F34" s="20">
        <f>MAX(0,E34-Config!$B$55-K34-Calculator!$D$15)</f>
        <v/>
      </c>
      <c r="G34" s="20">
        <f>SUMPRODUCT((M34&gt;Config!$G$13:$G$19)*(M34-Config!$G$13:$G$19)*Config!$F$13:$F$19)+0.15*Q34+0.2*(O34-Q34)</f>
        <v/>
      </c>
      <c r="H34" s="21">
        <f>(G34-G33)/5000</f>
        <v/>
      </c>
      <c r="I34" s="22">
        <f>LOOKUP(E34+Calculator!$D$14,Config!$H$22:$H$27,Config!$I$22:$I$27)</f>
        <v/>
      </c>
      <c r="J34" s="20">
        <f>(I34-Config!$I$22)*12*Config!$B$54</f>
        <v/>
      </c>
      <c r="K34">
        <f>MAX(0,MIN(Config!$F$6*Config!$B$54,Config!$F$6*Config!$B$54-Config!$F$8*MAX(0,(E34+Calculator!$D$14)-Config!$F$7)))</f>
        <v/>
      </c>
      <c r="L34">
        <f>MIN(Calculator!$D$13,F34)</f>
        <v/>
      </c>
      <c r="M34">
        <f>F34-L34</f>
        <v/>
      </c>
      <c r="N34">
        <f>MIN(L34,MAX(0,Config!$F$9-M34))</f>
        <v/>
      </c>
      <c r="O34">
        <f>L34-N34</f>
        <v/>
      </c>
      <c r="P34">
        <f>MAX(0,Config!$F$10-MAX(M34,Config!$F$9))</f>
        <v/>
      </c>
      <c r="Q34">
        <f>MIN(O34,P34)</f>
        <v/>
      </c>
    </row>
    <row r="35">
      <c r="A35" s="20">
        <f>A34+5000</f>
        <v/>
      </c>
      <c r="B35" s="20">
        <f>(A35+(Calculator!$D$11+Calculator!$D$12)+Calculator!$D$13+Calculator!$D$14+0.5*Config!$B$50)</f>
        <v/>
      </c>
      <c r="C35" s="20">
        <f>MIN(0.85*Config!$B$50,MIN(0.5*Config!$B$50,0.5*MIN(MAX(B35-Config!$F$2,0),Config!$F$3-Config!$F$2))+0.85*MAX(B35-Config!$F$3,0))</f>
        <v/>
      </c>
      <c r="D35" s="21">
        <f>IF(Config!$B$50=0,0,C35/Config!$B$50)</f>
        <v/>
      </c>
      <c r="E35" s="20">
        <f>(A35+(Calculator!$D$11+Calculator!$D$12)+Calculator!$D$13)+C35</f>
        <v/>
      </c>
      <c r="F35" s="20">
        <f>MAX(0,E35-Config!$B$55-K35-Calculator!$D$15)</f>
        <v/>
      </c>
      <c r="G35" s="20">
        <f>SUMPRODUCT((M35&gt;Config!$G$13:$G$19)*(M35-Config!$G$13:$G$19)*Config!$F$13:$F$19)+0.15*Q35+0.2*(O35-Q35)</f>
        <v/>
      </c>
      <c r="H35" s="21">
        <f>(G35-G34)/5000</f>
        <v/>
      </c>
      <c r="I35" s="22">
        <f>LOOKUP(E35+Calculator!$D$14,Config!$H$22:$H$27,Config!$I$22:$I$27)</f>
        <v/>
      </c>
      <c r="J35" s="20">
        <f>(I35-Config!$I$22)*12*Config!$B$54</f>
        <v/>
      </c>
      <c r="K35">
        <f>MAX(0,MIN(Config!$F$6*Config!$B$54,Config!$F$6*Config!$B$54-Config!$F$8*MAX(0,(E35+Calculator!$D$14)-Config!$F$7)))</f>
        <v/>
      </c>
      <c r="L35">
        <f>MIN(Calculator!$D$13,F35)</f>
        <v/>
      </c>
      <c r="M35">
        <f>F35-L35</f>
        <v/>
      </c>
      <c r="N35">
        <f>MIN(L35,MAX(0,Config!$F$9-M35))</f>
        <v/>
      </c>
      <c r="O35">
        <f>L35-N35</f>
        <v/>
      </c>
      <c r="P35">
        <f>MAX(0,Config!$F$10-MAX(M35,Config!$F$9))</f>
        <v/>
      </c>
      <c r="Q35">
        <f>MIN(O35,P35)</f>
        <v/>
      </c>
    </row>
  </sheetData>
  <mergeCells count="2">
    <mergeCell ref="A1:J1"/>
    <mergeCell ref="A2:J2"/>
  </mergeCells>
  <conditionalFormatting sqref="H6:H35">
    <cfRule type="cellIs" priority="1" operator="greaterThan" dxfId="0">
      <formula>0.22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2026-06-20T16:06:42Z</dcterms:created>
  <dcterms:modified xsi:type="dcterms:W3CDTF">2026-06-20T16:06:42Z</dcterms:modified>
</cp:coreProperties>
</file>